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lehub.sharepoint.com/sites/TADAO-AppeldOffre/Shared Documents/General/11 - Mise au point/"/>
    </mc:Choice>
  </mc:AlternateContent>
  <xr:revisionPtr revIDLastSave="219" documentId="8_{C5D6F096-4251-4FBA-9CD1-9B9A00455FDF}" xr6:coauthVersionLast="47" xr6:coauthVersionMax="47" xr10:uidLastSave="{EDB944F6-F259-44A8-A777-AF13B14922DC}"/>
  <bookViews>
    <workbookView xWindow="-8805" yWindow="-16320" windowWidth="29040" windowHeight="15840" tabRatio="836" firstSheet="13" activeTab="23" xr2:uid="{00000000-000D-0000-FFFF-FFFF00000000}"/>
  </bookViews>
  <sheets>
    <sheet name="Notice" sheetId="35" r:id="rId1"/>
    <sheet name="2. CEP offre de base" sheetId="1" r:id="rId2"/>
    <sheet name="CEP_OFINT2" sheetId="40" r:id="rId3"/>
    <sheet name="CEP_OFINT1" sheetId="43" r:id="rId4"/>
    <sheet name="CEP_OF1B" sheetId="38" r:id="rId5"/>
    <sheet name="3.Recettes" sheetId="18" r:id="rId6"/>
    <sheet name="12. CEPTC1 service vélo Bethune" sheetId="21" state="hidden" r:id="rId7"/>
    <sheet name="14. CEPTC3 Gestion abris vélos" sheetId="23" state="hidden" r:id="rId8"/>
    <sheet name="4.Charges variables" sheetId="5" r:id="rId9"/>
    <sheet name="4a" sheetId="6" r:id="rId10"/>
    <sheet name="10. CEP option Allobus" sheetId="15" state="hidden" r:id="rId11"/>
    <sheet name="11. CEP option Proxibus" sheetId="16" state="hidden" r:id="rId12"/>
    <sheet name="4b" sheetId="34" r:id="rId13"/>
    <sheet name="4c" sheetId="9" r:id="rId14"/>
    <sheet name="4d" sheetId="32" r:id="rId15"/>
    <sheet name="5.Charges fixes" sheetId="10" r:id="rId16"/>
    <sheet name="5a" sheetId="11" r:id="rId17"/>
    <sheet name="5b" sheetId="26" r:id="rId18"/>
    <sheet name="5c" sheetId="27" r:id="rId19"/>
    <sheet name="6. SousTraitance" sheetId="13" r:id="rId20"/>
    <sheet name="5a." sheetId="28" state="hidden" r:id="rId21"/>
    <sheet name="5b." sheetId="31" state="hidden" r:id="rId22"/>
    <sheet name="7.CEP en format SIG" sheetId="19" r:id="rId23"/>
    <sheet name="8.2 Option 6.2.1 Emports" sheetId="47" r:id="rId24"/>
    <sheet name="8.2 Option 6.2.2 Captain Bike R" sheetId="48" r:id="rId25"/>
    <sheet name="8.2 Option 6.2.2Captain BikeD3 " sheetId="49" r:id="rId26"/>
    <sheet name="8.2 Option 6.2.3 Trottinette" sheetId="50" r:id="rId27"/>
    <sheet name="9. Bilan prévisionnel" sheetId="29" r:id="rId28"/>
  </sheets>
  <externalReferences>
    <externalReference r:id="rId29"/>
    <externalReference r:id="rId30"/>
  </externalReferences>
  <definedNames>
    <definedName name="_12._CEP_TC_service_vélo_Bethune__A1" localSheetId="2">#REF!</definedName>
    <definedName name="_12._CEP_TC_service_vélo_Bethune__A1">#REF!</definedName>
    <definedName name="Annee" localSheetId="3">[1]BaseOF2!$C$3</definedName>
    <definedName name="Annee">'[2]2. CEP offre de base'!$C$3</definedName>
    <definedName name="Annee0" localSheetId="4">CEP_OF1B!$C$3</definedName>
    <definedName name="Annee0" localSheetId="3">CEP_OFINT1!$C$3</definedName>
    <definedName name="Annee0" localSheetId="2">CEP_OFINT2!$C$3</definedName>
    <definedName name="Annee0">'2. CEP offre de base'!$C$3</definedName>
    <definedName name="Annee1" localSheetId="4">CEP_OF1B!$D$3</definedName>
    <definedName name="Annee1" localSheetId="3">CEP_OFINT1!$D$3</definedName>
    <definedName name="Annee1" localSheetId="2">CEP_OFINT2!$D$3</definedName>
    <definedName name="Annee1">'2. CEP offre de base'!$D$3</definedName>
    <definedName name="Annee2" localSheetId="4">CEP_OF1B!$E$3</definedName>
    <definedName name="Annee2" localSheetId="3">CEP_OFINT1!$E$3</definedName>
    <definedName name="Annee2" localSheetId="2">CEP_OFINT2!$E$3</definedName>
    <definedName name="Annee2">'2. CEP offre de base'!$E$3</definedName>
    <definedName name="Annee3" localSheetId="4">CEP_OF1B!$F$3</definedName>
    <definedName name="Annee3" localSheetId="3">CEP_OFINT1!$F$3</definedName>
    <definedName name="Annee3" localSheetId="2">CEP_OFINT2!$F$3</definedName>
    <definedName name="Annee3">'2. CEP offre de base'!$F$3</definedName>
    <definedName name="Annee4" localSheetId="4">CEP_OF1B!$G$3</definedName>
    <definedName name="Annee4" localSheetId="3">CEP_OFINT1!$G$3</definedName>
    <definedName name="Annee4" localSheetId="2">CEP_OFINT2!$G$3</definedName>
    <definedName name="Annee4">'2. CEP offre de base'!$G$3</definedName>
    <definedName name="anscount" hidden="1">1</definedName>
    <definedName name="AS2DocOpenMode" hidden="1">"AS2DocumentEdit"</definedName>
    <definedName name="KEOLIS" localSheetId="3" hidden="1">{#N/A,#N/A,FALSE,"Aging Summary";#N/A,#N/A,FALSE,"Ratio Analysis";#N/A,#N/A,FALSE,"Test 120 Day Accts";#N/A,#N/A,FALSE,"Tickmarks"}</definedName>
    <definedName name="KEOLIS" localSheetId="2" hidden="1">{#N/A,#N/A,FALSE,"Aging Summary";#N/A,#N/A,FALSE,"Ratio Analysis";#N/A,#N/A,FALSE,"Test 120 Day Accts";#N/A,#N/A,FALSE,"Tickmarks"}</definedName>
    <definedName name="KEOLIS" hidden="1">{#N/A,#N/A,FALSE,"Aging Summary";#N/A,#N/A,FALSE,"Ratio Analysis";#N/A,#N/A,FALSE,"Test 120 Day Accts";#N/A,#N/A,FALSE,"Tickmarks"}</definedName>
    <definedName name="Liste_charges">'[2]2. Habillage'!$J$20:$J$33</definedName>
    <definedName name="wrn.Aging._.and._.Trend._.Analysis." localSheetId="3"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_xlnm.Print_Area" localSheetId="10">'10. CEP option Allobus'!$A$1:$P$68</definedName>
    <definedName name="_xlnm.Print_Area" localSheetId="11">'11. CEP option Proxibus'!$A$1:$P$68</definedName>
    <definedName name="_xlnm.Print_Area" localSheetId="6">'12. CEPTC1 service vélo Bethune'!$A$1:$P$29</definedName>
    <definedName name="_xlnm.Print_Area" localSheetId="7">'14. CEPTC3 Gestion abris vélos'!$A$1:$P$29</definedName>
    <definedName name="_xlnm.Print_Area" localSheetId="1">'2. CEP offre de base'!$A$1:$K$58</definedName>
    <definedName name="_xlnm.Print_Area" localSheetId="5">'3.Recettes'!$A$1:$I$87</definedName>
    <definedName name="_xlnm.Print_Area" localSheetId="8">'4.Charges variables'!$A$1:$I$50</definedName>
    <definedName name="_xlnm.Print_Area" localSheetId="9">'4a'!$A$1:$K$480</definedName>
    <definedName name="_xlnm.Print_Area" localSheetId="12">'4b'!$A$1:$K$198</definedName>
    <definedName name="_xlnm.Print_Area" localSheetId="13">'4c'!$A$1:$K$26</definedName>
    <definedName name="_xlnm.Print_Area" localSheetId="14">'4d'!$A$1:$K$24</definedName>
    <definedName name="_xlnm.Print_Area" localSheetId="15">'5.Charges fixes'!$A$1:$K$122</definedName>
    <definedName name="_xlnm.Print_Area" localSheetId="16">'5a'!$A$1:$K$81</definedName>
    <definedName name="_xlnm.Print_Area" localSheetId="20">'5a.'!$A$1:$P$29</definedName>
    <definedName name="_xlnm.Print_Area" localSheetId="17">'5b'!$A$1:$K$62</definedName>
    <definedName name="_xlnm.Print_Area" localSheetId="21">'5b.'!$A$1:$P$29</definedName>
    <definedName name="_xlnm.Print_Area" localSheetId="18">'5c'!$A$1:$K$17</definedName>
    <definedName name="_xlnm.Print_Area" localSheetId="19">'6. SousTraitance'!$A$1:$BO$40</definedName>
    <definedName name="_xlnm.Print_Area" localSheetId="22">'7.CEP en format SIG'!$A$1:$I$56</definedName>
    <definedName name="_xlnm.Print_Area" localSheetId="23">'8.2 Option 6.2.1 Emports'!$A$1:$M$29</definedName>
    <definedName name="_xlnm.Print_Area" localSheetId="24">'8.2 Option 6.2.2 Captain Bike R'!$A$1:$M$29</definedName>
    <definedName name="_xlnm.Print_Area" localSheetId="25">'8.2 Option 6.2.2Captain BikeD3 '!$A$1:$M$29</definedName>
    <definedName name="_xlnm.Print_Area" localSheetId="26">'8.2 Option 6.2.3 Trottinette'!$A$1:$M$29</definedName>
    <definedName name="_xlnm.Print_Area" localSheetId="27">'9. Bilan prévisionnel'!$A$1:$H$38</definedName>
    <definedName name="_xlnm.Print_Area" localSheetId="4">CEP_OF1B!$A$1:$K$39</definedName>
    <definedName name="_xlnm.Print_Area" localSheetId="3">CEP_OFINT1!$A$1:$K$58</definedName>
    <definedName name="_xlnm.Print_Area" localSheetId="2">CEP_OFINT2!$A$1:$K$40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50" l="1"/>
  <c r="D29" i="50" s="1"/>
  <c r="K26" i="50"/>
  <c r="J26" i="50"/>
  <c r="K25" i="50"/>
  <c r="J25" i="50"/>
  <c r="K24" i="50"/>
  <c r="J24" i="50"/>
  <c r="K23" i="50"/>
  <c r="J23" i="50"/>
  <c r="K22" i="50"/>
  <c r="J22" i="50"/>
  <c r="K21" i="50"/>
  <c r="J21" i="50"/>
  <c r="K20" i="50"/>
  <c r="J20" i="50"/>
  <c r="K19" i="50"/>
  <c r="J19" i="50"/>
  <c r="K18" i="50"/>
  <c r="J18" i="50"/>
  <c r="H17" i="50"/>
  <c r="G17" i="50"/>
  <c r="F17" i="50"/>
  <c r="J17" i="50" s="1"/>
  <c r="E17" i="50"/>
  <c r="D17" i="50"/>
  <c r="C17" i="50"/>
  <c r="K16" i="50"/>
  <c r="J16" i="50"/>
  <c r="K15" i="50"/>
  <c r="J15" i="50"/>
  <c r="K14" i="50"/>
  <c r="J14" i="50"/>
  <c r="H13" i="50"/>
  <c r="H27" i="50" s="1"/>
  <c r="H29" i="50" s="1"/>
  <c r="G13" i="50"/>
  <c r="G27" i="50" s="1"/>
  <c r="G29" i="50" s="1"/>
  <c r="F13" i="50"/>
  <c r="F27" i="50" s="1"/>
  <c r="F29" i="50" s="1"/>
  <c r="E13" i="50"/>
  <c r="E27" i="50" s="1"/>
  <c r="E29" i="50" s="1"/>
  <c r="D13" i="50"/>
  <c r="K13" i="50" s="1"/>
  <c r="C13" i="50"/>
  <c r="J13" i="50" s="1"/>
  <c r="H8" i="50"/>
  <c r="G8" i="50"/>
  <c r="F8" i="50"/>
  <c r="E8" i="50"/>
  <c r="D8" i="50"/>
  <c r="K8" i="50" s="1"/>
  <c r="C8" i="50"/>
  <c r="J8" i="50" s="1"/>
  <c r="K7" i="50"/>
  <c r="J7" i="50"/>
  <c r="K6" i="50"/>
  <c r="J6" i="50"/>
  <c r="K26" i="49"/>
  <c r="J26" i="49"/>
  <c r="K25" i="49"/>
  <c r="J25" i="49"/>
  <c r="K24" i="49"/>
  <c r="J24" i="49"/>
  <c r="K23" i="49"/>
  <c r="J23" i="49"/>
  <c r="K22" i="49"/>
  <c r="J22" i="49"/>
  <c r="K21" i="49"/>
  <c r="J21" i="49"/>
  <c r="K20" i="49"/>
  <c r="J20" i="49"/>
  <c r="K19" i="49"/>
  <c r="J19" i="49"/>
  <c r="K18" i="49"/>
  <c r="J18" i="49"/>
  <c r="K17" i="49"/>
  <c r="H17" i="49"/>
  <c r="G17" i="49"/>
  <c r="F17" i="49"/>
  <c r="E17" i="49"/>
  <c r="D17" i="49"/>
  <c r="C17" i="49"/>
  <c r="J17" i="49" s="1"/>
  <c r="K16" i="49"/>
  <c r="J16" i="49"/>
  <c r="K15" i="49"/>
  <c r="J15" i="49"/>
  <c r="K14" i="49"/>
  <c r="J14" i="49"/>
  <c r="H13" i="49"/>
  <c r="J13" i="49" s="1"/>
  <c r="G13" i="49"/>
  <c r="G27" i="49" s="1"/>
  <c r="G29" i="49" s="1"/>
  <c r="F13" i="49"/>
  <c r="F27" i="49" s="1"/>
  <c r="F29" i="49" s="1"/>
  <c r="E13" i="49"/>
  <c r="E27" i="49" s="1"/>
  <c r="E29" i="49" s="1"/>
  <c r="D13" i="49"/>
  <c r="D27" i="49" s="1"/>
  <c r="D29" i="49" s="1"/>
  <c r="C13" i="49"/>
  <c r="C27" i="49" s="1"/>
  <c r="H8" i="49"/>
  <c r="K8" i="49" s="1"/>
  <c r="G8" i="49"/>
  <c r="F8" i="49"/>
  <c r="E8" i="49"/>
  <c r="D8" i="49"/>
  <c r="C8" i="49"/>
  <c r="K7" i="49"/>
  <c r="J7" i="49"/>
  <c r="K6" i="49"/>
  <c r="J6" i="49"/>
  <c r="K26" i="48"/>
  <c r="J26" i="48"/>
  <c r="K25" i="48"/>
  <c r="J25" i="48"/>
  <c r="K24" i="48"/>
  <c r="J24" i="48"/>
  <c r="K23" i="48"/>
  <c r="J23" i="48"/>
  <c r="K22" i="48"/>
  <c r="J22" i="48"/>
  <c r="K21" i="48"/>
  <c r="J21" i="48"/>
  <c r="K20" i="48"/>
  <c r="J20" i="48"/>
  <c r="K19" i="48"/>
  <c r="J19" i="48"/>
  <c r="K18" i="48"/>
  <c r="J18" i="48"/>
  <c r="H17" i="48"/>
  <c r="G17" i="48"/>
  <c r="F17" i="48"/>
  <c r="J17" i="48" s="1"/>
  <c r="E17" i="48"/>
  <c r="D17" i="48"/>
  <c r="C17" i="48"/>
  <c r="K16" i="48"/>
  <c r="J16" i="48"/>
  <c r="K15" i="48"/>
  <c r="J15" i="48"/>
  <c r="K14" i="48"/>
  <c r="J14" i="48"/>
  <c r="H13" i="48"/>
  <c r="H27" i="48" s="1"/>
  <c r="H29" i="48" s="1"/>
  <c r="G13" i="48"/>
  <c r="G27" i="48" s="1"/>
  <c r="G29" i="48" s="1"/>
  <c r="F13" i="48"/>
  <c r="F27" i="48" s="1"/>
  <c r="F29" i="48" s="1"/>
  <c r="E13" i="48"/>
  <c r="E27" i="48" s="1"/>
  <c r="E29" i="48" s="1"/>
  <c r="D13" i="48"/>
  <c r="D27" i="48" s="1"/>
  <c r="D29" i="48" s="1"/>
  <c r="C13" i="48"/>
  <c r="C27" i="48" s="1"/>
  <c r="H8" i="48"/>
  <c r="G8" i="48"/>
  <c r="F8" i="48"/>
  <c r="E8" i="48"/>
  <c r="D8" i="48"/>
  <c r="K8" i="48" s="1"/>
  <c r="C8" i="48"/>
  <c r="K7" i="48"/>
  <c r="J7" i="48"/>
  <c r="K6" i="48"/>
  <c r="J6" i="48"/>
  <c r="K26" i="47"/>
  <c r="J26" i="47"/>
  <c r="K25" i="47"/>
  <c r="J25" i="47"/>
  <c r="K24" i="47"/>
  <c r="J24" i="47"/>
  <c r="K23" i="47"/>
  <c r="J23" i="47"/>
  <c r="K22" i="47"/>
  <c r="J22" i="47"/>
  <c r="K21" i="47"/>
  <c r="J21" i="47"/>
  <c r="K20" i="47"/>
  <c r="J20" i="47"/>
  <c r="K19" i="47"/>
  <c r="J19" i="47"/>
  <c r="K18" i="47"/>
  <c r="J18" i="47"/>
  <c r="K17" i="47"/>
  <c r="H17" i="47"/>
  <c r="G17" i="47"/>
  <c r="F17" i="47"/>
  <c r="E17" i="47"/>
  <c r="D17" i="47"/>
  <c r="C17" i="47"/>
  <c r="J17" i="47" s="1"/>
  <c r="K16" i="47"/>
  <c r="J16" i="47"/>
  <c r="K15" i="47"/>
  <c r="J15" i="47"/>
  <c r="K14" i="47"/>
  <c r="J14" i="47"/>
  <c r="H13" i="47"/>
  <c r="K13" i="47" s="1"/>
  <c r="G13" i="47"/>
  <c r="G27" i="47" s="1"/>
  <c r="G29" i="47" s="1"/>
  <c r="F13" i="47"/>
  <c r="F27" i="47" s="1"/>
  <c r="F29" i="47" s="1"/>
  <c r="E13" i="47"/>
  <c r="E27" i="47" s="1"/>
  <c r="E29" i="47" s="1"/>
  <c r="D13" i="47"/>
  <c r="D27" i="47" s="1"/>
  <c r="D29" i="47" s="1"/>
  <c r="C13" i="47"/>
  <c r="C27" i="47" s="1"/>
  <c r="H8" i="47"/>
  <c r="J8" i="47" s="1"/>
  <c r="G8" i="47"/>
  <c r="F8" i="47"/>
  <c r="E8" i="47"/>
  <c r="D8" i="47"/>
  <c r="C8" i="47"/>
  <c r="K7" i="47"/>
  <c r="J7" i="47"/>
  <c r="K6" i="47"/>
  <c r="J6" i="47"/>
  <c r="J27" i="49" l="1"/>
  <c r="J29" i="49" s="1"/>
  <c r="C29" i="49"/>
  <c r="C29" i="48"/>
  <c r="K27" i="48"/>
  <c r="K29" i="48" s="1"/>
  <c r="J27" i="48"/>
  <c r="J29" i="48" s="1"/>
  <c r="J27" i="47"/>
  <c r="J29" i="47" s="1"/>
  <c r="C29" i="47"/>
  <c r="K27" i="47"/>
  <c r="K29" i="47" s="1"/>
  <c r="J13" i="47"/>
  <c r="J8" i="49"/>
  <c r="K8" i="47"/>
  <c r="K13" i="49"/>
  <c r="K17" i="48"/>
  <c r="J8" i="48"/>
  <c r="J13" i="48"/>
  <c r="K13" i="48"/>
  <c r="C27" i="50"/>
  <c r="H27" i="47"/>
  <c r="H29" i="47" s="1"/>
  <c r="H27" i="49"/>
  <c r="H29" i="49" s="1"/>
  <c r="K17" i="50"/>
  <c r="J27" i="50" l="1"/>
  <c r="J29" i="50" s="1"/>
  <c r="C29" i="50"/>
  <c r="K27" i="50"/>
  <c r="K29" i="50" s="1"/>
  <c r="K27" i="49"/>
  <c r="K29" i="49" s="1"/>
  <c r="B63" i="43" l="1"/>
  <c r="B63" i="43" a="1"/>
  <c r="B62" i="43" a="1"/>
  <c r="B62" i="43" s="1"/>
  <c r="B61" i="43" a="1"/>
  <c r="B61" i="43" s="1"/>
  <c r="B60" i="43" a="1"/>
  <c r="B60" i="43" s="1"/>
  <c r="B59" i="43"/>
  <c r="B59" i="43" a="1"/>
  <c r="I57" i="43"/>
  <c r="H57" i="43"/>
  <c r="I56" i="43"/>
  <c r="H56" i="43"/>
  <c r="I55" i="43"/>
  <c r="H55" i="43"/>
  <c r="I54" i="43"/>
  <c r="H54" i="43"/>
  <c r="I53" i="43"/>
  <c r="H53" i="43"/>
  <c r="I52" i="43"/>
  <c r="H52" i="43"/>
  <c r="I51" i="43"/>
  <c r="H51" i="43"/>
  <c r="I50" i="43"/>
  <c r="H50" i="43"/>
  <c r="I49" i="43"/>
  <c r="H49" i="43"/>
  <c r="I48" i="43"/>
  <c r="H48" i="43"/>
  <c r="I44" i="43"/>
  <c r="H44" i="43"/>
  <c r="G43" i="43"/>
  <c r="F43" i="43"/>
  <c r="E43" i="43"/>
  <c r="D43" i="43"/>
  <c r="C43" i="43"/>
  <c r="C41" i="43"/>
  <c r="C39" i="43"/>
  <c r="I38" i="43"/>
  <c r="H38" i="43"/>
  <c r="I37" i="43"/>
  <c r="H37" i="43"/>
  <c r="G36" i="43"/>
  <c r="F36" i="43"/>
  <c r="E36" i="43"/>
  <c r="D36" i="43"/>
  <c r="I36" i="43" s="1"/>
  <c r="I35" i="43"/>
  <c r="H35" i="43"/>
  <c r="I34" i="43"/>
  <c r="H34" i="43"/>
  <c r="I33" i="43"/>
  <c r="H33" i="43"/>
  <c r="I32" i="43"/>
  <c r="H32" i="43"/>
  <c r="I31" i="43"/>
  <c r="H31" i="43"/>
  <c r="I30" i="43"/>
  <c r="H30" i="43"/>
  <c r="I29" i="43"/>
  <c r="H29" i="43"/>
  <c r="I28" i="43"/>
  <c r="H28" i="43"/>
  <c r="I27" i="43"/>
  <c r="H27" i="43"/>
  <c r="I26" i="43"/>
  <c r="H26" i="43"/>
  <c r="G25" i="43"/>
  <c r="H25" i="43" s="1"/>
  <c r="F25" i="43"/>
  <c r="I25" i="43" s="1"/>
  <c r="E25" i="43"/>
  <c r="D25" i="43"/>
  <c r="C25" i="43"/>
  <c r="I24" i="43"/>
  <c r="H24" i="43"/>
  <c r="I23" i="43"/>
  <c r="H23" i="43"/>
  <c r="I22" i="43"/>
  <c r="H22" i="43"/>
  <c r="G21" i="43"/>
  <c r="G39" i="43" s="1"/>
  <c r="F21" i="43"/>
  <c r="F39" i="43" s="1"/>
  <c r="E21" i="43"/>
  <c r="E39" i="43" s="1"/>
  <c r="D21" i="43"/>
  <c r="I21" i="43" s="1"/>
  <c r="I20" i="43"/>
  <c r="H20" i="43"/>
  <c r="G19" i="43"/>
  <c r="F19" i="43"/>
  <c r="E19" i="43"/>
  <c r="D19" i="43"/>
  <c r="C19" i="43"/>
  <c r="I17" i="43"/>
  <c r="G17" i="43"/>
  <c r="F17" i="43"/>
  <c r="E17" i="43"/>
  <c r="D17" i="43"/>
  <c r="H17" i="43" s="1"/>
  <c r="I16" i="43"/>
  <c r="H16" i="43"/>
  <c r="I15" i="43"/>
  <c r="H15" i="43"/>
  <c r="I14" i="43"/>
  <c r="H14" i="43"/>
  <c r="I13" i="43"/>
  <c r="H13" i="43"/>
  <c r="G12" i="43"/>
  <c r="F12" i="43"/>
  <c r="E12" i="43"/>
  <c r="D12" i="43"/>
  <c r="C12" i="43"/>
  <c r="G10" i="43"/>
  <c r="G46" i="43" s="1"/>
  <c r="F10" i="43"/>
  <c r="F46" i="43" s="1"/>
  <c r="E10" i="43"/>
  <c r="E46" i="43" s="1"/>
  <c r="D10" i="43"/>
  <c r="D46" i="43" s="1"/>
  <c r="I9" i="43"/>
  <c r="H9" i="43"/>
  <c r="I8" i="43"/>
  <c r="H8" i="43"/>
  <c r="I7" i="43"/>
  <c r="H7" i="43"/>
  <c r="I6" i="43"/>
  <c r="H6" i="43"/>
  <c r="I5" i="43"/>
  <c r="H5" i="43"/>
  <c r="I4" i="43"/>
  <c r="H4" i="43"/>
  <c r="E47" i="43" l="1"/>
  <c r="E41" i="43"/>
  <c r="E45" i="43"/>
  <c r="F47" i="43"/>
  <c r="F41" i="43"/>
  <c r="F45" i="43"/>
  <c r="H41" i="43"/>
  <c r="G47" i="43"/>
  <c r="G41" i="43"/>
  <c r="G45" i="43"/>
  <c r="H39" i="43"/>
  <c r="I46" i="43"/>
  <c r="H46" i="43"/>
  <c r="H10" i="43"/>
  <c r="I10" i="43"/>
  <c r="D39" i="43"/>
  <c r="H36" i="43"/>
  <c r="H21" i="43"/>
  <c r="D45" i="43" l="1"/>
  <c r="D47" i="43"/>
  <c r="D41" i="43"/>
  <c r="I39" i="43"/>
  <c r="I41" i="43" s="1"/>
  <c r="H47" i="43" l="1"/>
  <c r="I47" i="43"/>
  <c r="I45" i="43"/>
  <c r="H45" i="43"/>
  <c r="I60" i="26" l="1"/>
  <c r="H60" i="26"/>
  <c r="I59" i="26"/>
  <c r="H59" i="26"/>
  <c r="I58" i="26"/>
  <c r="H58" i="26"/>
  <c r="I57" i="26"/>
  <c r="H57" i="26"/>
  <c r="I56" i="26"/>
  <c r="H56" i="26"/>
  <c r="I55" i="26"/>
  <c r="H55" i="26"/>
  <c r="I54" i="26"/>
  <c r="H54" i="26"/>
  <c r="I53" i="26"/>
  <c r="H53" i="26"/>
  <c r="I52" i="26"/>
  <c r="H52" i="26"/>
  <c r="I51" i="26"/>
  <c r="H51" i="26"/>
  <c r="I50" i="26"/>
  <c r="H50" i="26"/>
  <c r="I49" i="26"/>
  <c r="H49" i="26"/>
  <c r="I48" i="26"/>
  <c r="H48" i="26"/>
  <c r="I47" i="26"/>
  <c r="H47" i="26"/>
  <c r="I46" i="26"/>
  <c r="H46" i="26"/>
  <c r="I45" i="26"/>
  <c r="H45" i="26"/>
  <c r="I44" i="26"/>
  <c r="H44" i="26"/>
  <c r="D61" i="26"/>
  <c r="W4" i="13"/>
  <c r="V4" i="13"/>
  <c r="U4" i="13"/>
  <c r="T4" i="13"/>
  <c r="BK29" i="13" l="1"/>
  <c r="BJ29" i="13"/>
  <c r="BI29" i="13"/>
  <c r="BH29" i="13"/>
  <c r="BC29" i="13"/>
  <c r="BB29" i="13"/>
  <c r="BA29" i="13"/>
  <c r="AZ29" i="13"/>
  <c r="AU29" i="13"/>
  <c r="AT29" i="13"/>
  <c r="AS29" i="13"/>
  <c r="AR29" i="13"/>
  <c r="H39" i="40"/>
  <c r="B45" i="40" l="1" a="1"/>
  <c r="B45" i="40" s="1"/>
  <c r="B44" i="40" a="1"/>
  <c r="B44" i="40" s="1"/>
  <c r="B43" i="40" a="1"/>
  <c r="B43" i="40" s="1"/>
  <c r="B42" i="40"/>
  <c r="B42" i="40" a="1"/>
  <c r="B41" i="40" a="1"/>
  <c r="B41" i="40" s="1"/>
  <c r="F39" i="40"/>
  <c r="I38" i="40"/>
  <c r="H38" i="40"/>
  <c r="I37" i="40"/>
  <c r="H37" i="40"/>
  <c r="G36" i="40"/>
  <c r="F36" i="40"/>
  <c r="E36" i="40"/>
  <c r="E39" i="40" s="1"/>
  <c r="D36" i="40"/>
  <c r="I35" i="40"/>
  <c r="H35" i="40"/>
  <c r="I34" i="40"/>
  <c r="H34" i="40"/>
  <c r="I33" i="40"/>
  <c r="H33" i="40"/>
  <c r="I32" i="40"/>
  <c r="H32" i="40"/>
  <c r="I31" i="40"/>
  <c r="H31" i="40"/>
  <c r="I30" i="40"/>
  <c r="H30" i="40"/>
  <c r="I29" i="40"/>
  <c r="H29" i="40"/>
  <c r="I28" i="40"/>
  <c r="H28" i="40"/>
  <c r="I27" i="40"/>
  <c r="H27" i="40"/>
  <c r="I26" i="40"/>
  <c r="H26" i="40"/>
  <c r="G25" i="40"/>
  <c r="F25" i="40"/>
  <c r="E25" i="40"/>
  <c r="D25" i="40"/>
  <c r="C25" i="40"/>
  <c r="I25" i="40" s="1"/>
  <c r="I24" i="40"/>
  <c r="H24" i="40"/>
  <c r="I23" i="40"/>
  <c r="H23" i="40"/>
  <c r="I22" i="40"/>
  <c r="H22" i="40"/>
  <c r="G21" i="40"/>
  <c r="G39" i="40" s="1"/>
  <c r="F21" i="40"/>
  <c r="E21" i="40"/>
  <c r="D21" i="40"/>
  <c r="D39" i="40" s="1"/>
  <c r="I20" i="40"/>
  <c r="H20" i="40"/>
  <c r="G19" i="40"/>
  <c r="F19" i="40"/>
  <c r="E19" i="40"/>
  <c r="D19" i="40"/>
  <c r="C19" i="40"/>
  <c r="G17" i="40"/>
  <c r="F17" i="40"/>
  <c r="E17" i="40"/>
  <c r="D17" i="40"/>
  <c r="I17" i="40" s="1"/>
  <c r="I16" i="40"/>
  <c r="H16" i="40"/>
  <c r="I15" i="40"/>
  <c r="H15" i="40"/>
  <c r="I14" i="40"/>
  <c r="H14" i="40"/>
  <c r="I13" i="40"/>
  <c r="H13" i="40"/>
  <c r="G12" i="40"/>
  <c r="F12" i="40"/>
  <c r="E12" i="40"/>
  <c r="D12" i="40"/>
  <c r="C12" i="40"/>
  <c r="G10" i="40"/>
  <c r="F10" i="40"/>
  <c r="E10" i="40"/>
  <c r="I10" i="40" s="1"/>
  <c r="D10" i="40"/>
  <c r="I9" i="40"/>
  <c r="H9" i="40"/>
  <c r="I8" i="40"/>
  <c r="H8" i="40"/>
  <c r="I7" i="40"/>
  <c r="H7" i="40"/>
  <c r="I6" i="40"/>
  <c r="H6" i="40"/>
  <c r="I5" i="40"/>
  <c r="H5" i="40"/>
  <c r="I4" i="40"/>
  <c r="H4" i="40"/>
  <c r="H10" i="40" l="1"/>
  <c r="H21" i="40"/>
  <c r="I36" i="40"/>
  <c r="I21" i="40"/>
  <c r="H17" i="40"/>
  <c r="H25" i="40"/>
  <c r="C39" i="40"/>
  <c r="H36" i="40"/>
  <c r="I39" i="40" l="1"/>
  <c r="I26" i="10" l="1"/>
  <c r="H26" i="10"/>
  <c r="H27" i="10"/>
  <c r="I27" i="10"/>
  <c r="H28" i="10"/>
  <c r="I28" i="10"/>
  <c r="I25" i="10"/>
  <c r="H25" i="10"/>
  <c r="G109" i="10" l="1"/>
  <c r="F109" i="10"/>
  <c r="E109" i="10"/>
  <c r="D109" i="10"/>
  <c r="I109" i="10" l="1"/>
  <c r="H109" i="10"/>
  <c r="H90" i="10"/>
  <c r="I90" i="10"/>
  <c r="H91" i="10"/>
  <c r="I91" i="10"/>
  <c r="I89" i="10"/>
  <c r="H89" i="10"/>
  <c r="BD30" i="13" l="1"/>
  <c r="BE30" i="13"/>
  <c r="BD31" i="13"/>
  <c r="BE31" i="13"/>
  <c r="BD32" i="13"/>
  <c r="BE32" i="13"/>
  <c r="BD33" i="13"/>
  <c r="BE33" i="13"/>
  <c r="BD34" i="13"/>
  <c r="BE34" i="13"/>
  <c r="BD35" i="13"/>
  <c r="BE35" i="13"/>
  <c r="H15" i="18" l="1"/>
  <c r="I15" i="18"/>
  <c r="I19" i="38" l="1"/>
  <c r="H19" i="38"/>
  <c r="G18" i="38"/>
  <c r="F18" i="38"/>
  <c r="E18" i="38"/>
  <c r="D18" i="38"/>
  <c r="C18" i="38"/>
  <c r="E16" i="38"/>
  <c r="D16" i="38"/>
  <c r="I15" i="38"/>
  <c r="I14" i="38"/>
  <c r="H14" i="38"/>
  <c r="G16" i="38"/>
  <c r="I12" i="38"/>
  <c r="H12" i="38"/>
  <c r="G11" i="38"/>
  <c r="F11" i="38"/>
  <c r="E11" i="38"/>
  <c r="D11" i="38"/>
  <c r="C11" i="38"/>
  <c r="H8" i="38"/>
  <c r="I7" i="38"/>
  <c r="G9" i="38"/>
  <c r="F9" i="38"/>
  <c r="E9" i="38"/>
  <c r="I6" i="38"/>
  <c r="I5" i="38"/>
  <c r="H5" i="38"/>
  <c r="I4" i="38"/>
  <c r="H4" i="38"/>
  <c r="I8" i="38" l="1"/>
  <c r="H13" i="38"/>
  <c r="F16" i="38"/>
  <c r="H7" i="38"/>
  <c r="I13" i="38"/>
  <c r="D9" i="38"/>
  <c r="H6" i="38"/>
  <c r="H15" i="38"/>
  <c r="I16" i="38" l="1"/>
  <c r="H16" i="38"/>
  <c r="I9" i="38"/>
  <c r="H9" i="38"/>
  <c r="G9" i="1" l="1"/>
  <c r="F9" i="1"/>
  <c r="H9" i="1" s="1"/>
  <c r="E9" i="1"/>
  <c r="D9" i="1"/>
  <c r="I9" i="1" s="1"/>
  <c r="D71" i="18" l="1"/>
  <c r="D62" i="18"/>
  <c r="D53" i="18"/>
  <c r="G38" i="18"/>
  <c r="F38" i="18"/>
  <c r="E38" i="18"/>
  <c r="D38" i="18"/>
  <c r="G23" i="18"/>
  <c r="F23" i="18"/>
  <c r="E23" i="18"/>
  <c r="D23" i="18"/>
  <c r="H73" i="18"/>
  <c r="I73" i="18"/>
  <c r="I49" i="18"/>
  <c r="H49" i="18"/>
  <c r="I48" i="18"/>
  <c r="H48" i="18"/>
  <c r="I47" i="18"/>
  <c r="H47" i="18"/>
  <c r="I46" i="18"/>
  <c r="H46" i="18"/>
  <c r="I45" i="18"/>
  <c r="H45" i="18"/>
  <c r="I44" i="18"/>
  <c r="H44" i="18"/>
  <c r="I37" i="18"/>
  <c r="H37" i="18"/>
  <c r="I36" i="18"/>
  <c r="H36" i="18"/>
  <c r="I35" i="18"/>
  <c r="H35" i="18"/>
  <c r="I34" i="18"/>
  <c r="H34" i="18"/>
  <c r="I33" i="18"/>
  <c r="H33" i="18"/>
  <c r="I32" i="18"/>
  <c r="H32" i="18"/>
  <c r="I31" i="18"/>
  <c r="H31" i="18"/>
  <c r="I30" i="18"/>
  <c r="H30" i="18"/>
  <c r="I29" i="18"/>
  <c r="H29" i="18"/>
  <c r="I28" i="18"/>
  <c r="H28" i="18"/>
  <c r="I27" i="18"/>
  <c r="H27" i="18"/>
  <c r="G71" i="18"/>
  <c r="F71" i="18"/>
  <c r="E71" i="18"/>
  <c r="I70" i="18"/>
  <c r="H70" i="18"/>
  <c r="I69" i="18"/>
  <c r="H69" i="18"/>
  <c r="I68" i="18"/>
  <c r="H68" i="18"/>
  <c r="I67" i="18"/>
  <c r="H67" i="18"/>
  <c r="I66" i="18"/>
  <c r="H66" i="18"/>
  <c r="I65" i="18"/>
  <c r="H65" i="18"/>
  <c r="I64" i="18"/>
  <c r="H64" i="18"/>
  <c r="I63" i="18"/>
  <c r="H63" i="18"/>
  <c r="G62" i="18"/>
  <c r="F62" i="18"/>
  <c r="E62" i="18"/>
  <c r="I61" i="18"/>
  <c r="H61" i="18"/>
  <c r="I60" i="18"/>
  <c r="H60" i="18"/>
  <c r="I59" i="18"/>
  <c r="H59" i="18"/>
  <c r="I58" i="18"/>
  <c r="H58" i="18"/>
  <c r="I57" i="18"/>
  <c r="H57" i="18"/>
  <c r="I56" i="18"/>
  <c r="H56" i="18"/>
  <c r="I55" i="18"/>
  <c r="H55" i="18"/>
  <c r="I54" i="18"/>
  <c r="H54" i="18"/>
  <c r="G53" i="18"/>
  <c r="F53" i="18"/>
  <c r="E53" i="18"/>
  <c r="I52" i="18"/>
  <c r="H52" i="18"/>
  <c r="I51" i="18"/>
  <c r="H51" i="18"/>
  <c r="H53" i="18" l="1"/>
  <c r="I53" i="18" s="1"/>
  <c r="D22" i="18"/>
  <c r="G22" i="18"/>
  <c r="E22" i="18"/>
  <c r="F22" i="18"/>
  <c r="H62" i="18"/>
  <c r="I62" i="18" s="1"/>
  <c r="BK20" i="13" l="1"/>
  <c r="BJ20" i="13"/>
  <c r="BI20" i="13"/>
  <c r="BH20" i="13"/>
  <c r="BC20" i="13"/>
  <c r="BB20" i="13"/>
  <c r="BA20" i="13"/>
  <c r="AZ20" i="13"/>
  <c r="AU20" i="13"/>
  <c r="AT20" i="13"/>
  <c r="AS20" i="13"/>
  <c r="AR20" i="13"/>
  <c r="AM20" i="13"/>
  <c r="AL20" i="13"/>
  <c r="AK20" i="13"/>
  <c r="AJ20" i="13"/>
  <c r="AE20" i="13"/>
  <c r="AD20" i="13"/>
  <c r="AC20" i="13"/>
  <c r="AB20" i="13"/>
  <c r="W20" i="13"/>
  <c r="V20" i="13"/>
  <c r="U20" i="13"/>
  <c r="T20" i="13"/>
  <c r="O20" i="13"/>
  <c r="N20" i="13"/>
  <c r="M20" i="13"/>
  <c r="L20" i="13"/>
  <c r="G20" i="13"/>
  <c r="A143" i="34"/>
  <c r="A142" i="34"/>
  <c r="A45" i="26" l="1"/>
  <c r="A60" i="10"/>
  <c r="BM21" i="13"/>
  <c r="BL21" i="13"/>
  <c r="BE21" i="13"/>
  <c r="BD21" i="13"/>
  <c r="AW21" i="13"/>
  <c r="AV21" i="13"/>
  <c r="BG20" i="13"/>
  <c r="AY20" i="13"/>
  <c r="AQ20" i="13"/>
  <c r="BM6" i="13"/>
  <c r="BL6" i="13"/>
  <c r="BE6" i="13"/>
  <c r="BD6" i="13"/>
  <c r="AW6" i="13"/>
  <c r="AV6" i="13"/>
  <c r="BK5" i="13"/>
  <c r="BJ5" i="13"/>
  <c r="BI5" i="13"/>
  <c r="BH5" i="13"/>
  <c r="BG5" i="13"/>
  <c r="BC5" i="13"/>
  <c r="BB5" i="13"/>
  <c r="BA5" i="13"/>
  <c r="AZ5" i="13"/>
  <c r="AY5" i="13"/>
  <c r="AU5" i="13"/>
  <c r="AT5" i="13"/>
  <c r="AS5" i="13"/>
  <c r="AR5" i="13"/>
  <c r="AQ5" i="13"/>
  <c r="F20" i="13"/>
  <c r="G5" i="13"/>
  <c r="F5" i="13"/>
  <c r="AM5" i="13"/>
  <c r="AL5" i="13"/>
  <c r="AE5" i="13"/>
  <c r="AD5" i="13"/>
  <c r="W5" i="13"/>
  <c r="V5" i="13"/>
  <c r="O5" i="13"/>
  <c r="N5" i="13"/>
  <c r="G3" i="19"/>
  <c r="F3" i="19"/>
  <c r="G4" i="27"/>
  <c r="F4" i="27"/>
  <c r="E4" i="27"/>
  <c r="D4" i="27"/>
  <c r="G33" i="26"/>
  <c r="F33" i="26"/>
  <c r="E33" i="26"/>
  <c r="D33" i="26"/>
  <c r="G54" i="11"/>
  <c r="F54" i="11"/>
  <c r="E54" i="11"/>
  <c r="D54" i="11"/>
  <c r="G28" i="11"/>
  <c r="F28" i="11"/>
  <c r="E28" i="11"/>
  <c r="D28" i="11"/>
  <c r="G3" i="10"/>
  <c r="F3" i="10"/>
  <c r="E3" i="10"/>
  <c r="D3" i="10"/>
  <c r="G18" i="32"/>
  <c r="F18" i="32"/>
  <c r="E18" i="32"/>
  <c r="D18" i="32"/>
  <c r="G11" i="32"/>
  <c r="F11" i="32"/>
  <c r="E11" i="32"/>
  <c r="D11" i="32"/>
  <c r="G7" i="32"/>
  <c r="F7" i="32"/>
  <c r="E7" i="32"/>
  <c r="D7" i="32"/>
  <c r="G21" i="9"/>
  <c r="F21" i="9"/>
  <c r="E21" i="9"/>
  <c r="D21" i="9"/>
  <c r="G12" i="9"/>
  <c r="F12" i="9"/>
  <c r="E12" i="9"/>
  <c r="D12" i="9"/>
  <c r="G5" i="9"/>
  <c r="F5" i="9"/>
  <c r="E5" i="9"/>
  <c r="D5" i="9"/>
  <c r="G188" i="34"/>
  <c r="F188" i="34"/>
  <c r="E188" i="34"/>
  <c r="D188" i="34"/>
  <c r="G175" i="34"/>
  <c r="F175" i="34"/>
  <c r="E175" i="34"/>
  <c r="D175" i="34"/>
  <c r="G165" i="34"/>
  <c r="F165" i="34"/>
  <c r="E165" i="34"/>
  <c r="D165" i="34"/>
  <c r="G53" i="34"/>
  <c r="F53" i="34"/>
  <c r="E53" i="34"/>
  <c r="D53" i="34"/>
  <c r="G112" i="34"/>
  <c r="F112" i="34"/>
  <c r="E112" i="34"/>
  <c r="D112" i="34"/>
  <c r="G38" i="34"/>
  <c r="F38" i="34"/>
  <c r="E38" i="34"/>
  <c r="D38" i="34"/>
  <c r="G7" i="34"/>
  <c r="F7" i="34"/>
  <c r="E7" i="34"/>
  <c r="D7" i="34"/>
  <c r="G471" i="6"/>
  <c r="F471" i="6"/>
  <c r="E471" i="6"/>
  <c r="D471" i="6"/>
  <c r="G459" i="6"/>
  <c r="F459" i="6"/>
  <c r="E459" i="6"/>
  <c r="D459" i="6"/>
  <c r="G450" i="6"/>
  <c r="F450" i="6"/>
  <c r="E450" i="6"/>
  <c r="D450" i="6"/>
  <c r="G332" i="6"/>
  <c r="F332" i="6"/>
  <c r="E332" i="6"/>
  <c r="D332" i="6"/>
  <c r="G141" i="6"/>
  <c r="F141" i="6"/>
  <c r="E141" i="6"/>
  <c r="D141" i="6"/>
  <c r="G104" i="6"/>
  <c r="F104" i="6"/>
  <c r="E104" i="6"/>
  <c r="D104" i="6"/>
  <c r="G7" i="6"/>
  <c r="F7" i="6"/>
  <c r="E7" i="6"/>
  <c r="D7" i="6"/>
  <c r="G32" i="5"/>
  <c r="F32" i="5"/>
  <c r="E32" i="5"/>
  <c r="D32" i="5"/>
  <c r="G10" i="5"/>
  <c r="F10" i="5"/>
  <c r="E10" i="5"/>
  <c r="D10" i="5"/>
  <c r="G3" i="5"/>
  <c r="F3" i="5"/>
  <c r="E3" i="5"/>
  <c r="D3" i="5"/>
  <c r="G82" i="18"/>
  <c r="F82" i="18"/>
  <c r="E82" i="18"/>
  <c r="D82" i="18"/>
  <c r="G77" i="18"/>
  <c r="F77" i="18"/>
  <c r="E77" i="18"/>
  <c r="D77" i="18"/>
  <c r="G20" i="18"/>
  <c r="F20" i="18"/>
  <c r="E20" i="18"/>
  <c r="D20" i="18"/>
  <c r="G5" i="18"/>
  <c r="F5" i="18"/>
  <c r="E5" i="18"/>
  <c r="D5" i="18"/>
  <c r="G43" i="1"/>
  <c r="F43" i="1"/>
  <c r="E43" i="1"/>
  <c r="D43" i="1"/>
  <c r="G12" i="1"/>
  <c r="F12" i="1"/>
  <c r="E12" i="1"/>
  <c r="D12" i="1"/>
  <c r="G19" i="1"/>
  <c r="F19" i="1"/>
  <c r="G34" i="1"/>
  <c r="F34" i="1"/>
  <c r="G8" i="1"/>
  <c r="F8" i="1"/>
  <c r="G7" i="1"/>
  <c r="F7" i="1"/>
  <c r="G6" i="1"/>
  <c r="F6" i="1"/>
  <c r="F85" i="10"/>
  <c r="F84" i="10"/>
  <c r="F83" i="10"/>
  <c r="F82" i="10"/>
  <c r="F81" i="10"/>
  <c r="F80" i="10"/>
  <c r="F79" i="10"/>
  <c r="F78" i="10"/>
  <c r="F77" i="10"/>
  <c r="F86" i="18"/>
  <c r="F80" i="18"/>
  <c r="F15" i="1" s="1"/>
  <c r="F7" i="18"/>
  <c r="F16" i="18" s="1"/>
  <c r="F16" i="1" l="1"/>
  <c r="F5" i="1"/>
  <c r="F10" i="1" s="1"/>
  <c r="F59" i="1" l="1"/>
  <c r="A46" i="26"/>
  <c r="A61" i="10"/>
  <c r="E3" i="19"/>
  <c r="D3" i="19"/>
  <c r="C3" i="19"/>
  <c r="AI20" i="13"/>
  <c r="AK5" i="13"/>
  <c r="AJ5" i="13"/>
  <c r="AI5" i="13"/>
  <c r="AC5" i="13"/>
  <c r="AB5" i="13"/>
  <c r="AA5" i="13"/>
  <c r="AA20" i="13"/>
  <c r="S20" i="13"/>
  <c r="U5" i="13"/>
  <c r="T5" i="13"/>
  <c r="S5" i="13"/>
  <c r="K20" i="13"/>
  <c r="M5" i="13"/>
  <c r="L5" i="13"/>
  <c r="K5" i="13"/>
  <c r="E20" i="13"/>
  <c r="D20" i="13"/>
  <c r="C20" i="13"/>
  <c r="E5" i="13"/>
  <c r="D5" i="13"/>
  <c r="C5" i="13"/>
  <c r="C4" i="27"/>
  <c r="C33" i="26"/>
  <c r="C54" i="11"/>
  <c r="C28" i="11"/>
  <c r="C3" i="10"/>
  <c r="C18" i="32"/>
  <c r="C11" i="32"/>
  <c r="C7" i="32"/>
  <c r="C21" i="9"/>
  <c r="C12" i="9"/>
  <c r="C5" i="9"/>
  <c r="C188" i="34"/>
  <c r="C175" i="34"/>
  <c r="C165" i="34"/>
  <c r="C112" i="34"/>
  <c r="C53" i="34"/>
  <c r="C38" i="34"/>
  <c r="C7" i="34"/>
  <c r="C471" i="6"/>
  <c r="C459" i="6"/>
  <c r="C450" i="6"/>
  <c r="C332" i="6"/>
  <c r="C141" i="6"/>
  <c r="C104" i="6"/>
  <c r="C7" i="6"/>
  <c r="C32" i="5"/>
  <c r="C10" i="5"/>
  <c r="C3" i="5"/>
  <c r="C82" i="18"/>
  <c r="C77" i="18"/>
  <c r="C20" i="18"/>
  <c r="C5" i="18"/>
  <c r="C43" i="1"/>
  <c r="E19" i="1"/>
  <c r="D19" i="1"/>
  <c r="C19" i="1"/>
  <c r="C12" i="1"/>
  <c r="G9" i="13" l="1"/>
  <c r="G10" i="13"/>
  <c r="F10" i="13"/>
  <c r="F9" i="13"/>
  <c r="D10" i="13"/>
  <c r="D9" i="13"/>
  <c r="E10" i="13"/>
  <c r="E9" i="13"/>
  <c r="A47" i="26"/>
  <c r="A62" i="10"/>
  <c r="A48" i="26" l="1"/>
  <c r="A63" i="10"/>
  <c r="A49" i="26" l="1"/>
  <c r="A64" i="10"/>
  <c r="E7" i="1"/>
  <c r="D7" i="1"/>
  <c r="I13" i="18"/>
  <c r="H13" i="18"/>
  <c r="E34" i="1"/>
  <c r="D34" i="1"/>
  <c r="AO21" i="13"/>
  <c r="AN21" i="13"/>
  <c r="AG21" i="13"/>
  <c r="AF21" i="13"/>
  <c r="AO6" i="13"/>
  <c r="AN6" i="13"/>
  <c r="AG6" i="13"/>
  <c r="AF6" i="13"/>
  <c r="Q21" i="13"/>
  <c r="P21" i="13"/>
  <c r="Q6" i="13"/>
  <c r="P6" i="13"/>
  <c r="Y21" i="13"/>
  <c r="X21" i="13"/>
  <c r="Y6" i="13"/>
  <c r="X6" i="13"/>
  <c r="A50" i="26" l="1"/>
  <c r="A65" i="10"/>
  <c r="I7" i="1"/>
  <c r="H7" i="1"/>
  <c r="A51" i="26" l="1"/>
  <c r="A66" i="10"/>
  <c r="A52" i="26" l="1"/>
  <c r="A67" i="10"/>
  <c r="I44" i="1"/>
  <c r="H44" i="1"/>
  <c r="C54" i="19"/>
  <c r="C45" i="19"/>
  <c r="C39" i="19"/>
  <c r="C35" i="19"/>
  <c r="A53" i="26" l="1"/>
  <c r="A68" i="10"/>
  <c r="C13" i="19"/>
  <c r="C7" i="19"/>
  <c r="I44" i="19"/>
  <c r="H44" i="19"/>
  <c r="I43" i="19"/>
  <c r="H43" i="19"/>
  <c r="I4" i="19"/>
  <c r="H4" i="19"/>
  <c r="I21" i="13"/>
  <c r="H21" i="13"/>
  <c r="I6" i="13"/>
  <c r="H6" i="13"/>
  <c r="G85" i="10"/>
  <c r="E85" i="10"/>
  <c r="D85" i="10"/>
  <c r="G84" i="10"/>
  <c r="E84" i="10"/>
  <c r="D84" i="10"/>
  <c r="G83" i="10"/>
  <c r="E83" i="10"/>
  <c r="D83" i="10"/>
  <c r="G82" i="10"/>
  <c r="E82" i="10"/>
  <c r="D82" i="10"/>
  <c r="G81" i="10"/>
  <c r="E81" i="10"/>
  <c r="D81" i="10"/>
  <c r="G80" i="10"/>
  <c r="E80" i="10"/>
  <c r="D80" i="10"/>
  <c r="G79" i="10"/>
  <c r="E79" i="10"/>
  <c r="D79" i="10"/>
  <c r="G78" i="10"/>
  <c r="E78" i="10"/>
  <c r="D78" i="10"/>
  <c r="G77" i="10"/>
  <c r="E77" i="10"/>
  <c r="D77" i="10"/>
  <c r="A85" i="10"/>
  <c r="A84" i="10"/>
  <c r="A83" i="10"/>
  <c r="A82" i="10"/>
  <c r="A81" i="10"/>
  <c r="A80" i="10"/>
  <c r="A79" i="10"/>
  <c r="A78" i="10"/>
  <c r="A77" i="10"/>
  <c r="A76" i="10"/>
  <c r="I15" i="27"/>
  <c r="H15" i="27"/>
  <c r="I14" i="27"/>
  <c r="H14" i="27"/>
  <c r="I13" i="27"/>
  <c r="H13" i="27"/>
  <c r="I12" i="27"/>
  <c r="H12" i="27"/>
  <c r="I11" i="27"/>
  <c r="H11" i="27"/>
  <c r="I10" i="27"/>
  <c r="H10" i="27"/>
  <c r="I9" i="27"/>
  <c r="H9" i="27"/>
  <c r="I8" i="27"/>
  <c r="H8" i="27"/>
  <c r="I7" i="27"/>
  <c r="H7" i="27"/>
  <c r="I5" i="27"/>
  <c r="H5" i="27"/>
  <c r="A59" i="10"/>
  <c r="A58" i="10"/>
  <c r="A57" i="10"/>
  <c r="A56" i="10"/>
  <c r="A55" i="10"/>
  <c r="A54" i="10"/>
  <c r="A53" i="10"/>
  <c r="A52" i="10"/>
  <c r="A51" i="10"/>
  <c r="A50" i="10"/>
  <c r="A43" i="26"/>
  <c r="A42" i="26"/>
  <c r="A41" i="26"/>
  <c r="A40" i="26"/>
  <c r="A39" i="26"/>
  <c r="A38" i="26"/>
  <c r="A37" i="26"/>
  <c r="A36" i="26"/>
  <c r="A35" i="26"/>
  <c r="A44" i="26"/>
  <c r="I34" i="26"/>
  <c r="H34" i="26"/>
  <c r="I55" i="11"/>
  <c r="H55" i="11"/>
  <c r="I29" i="11"/>
  <c r="H29" i="11"/>
  <c r="E8" i="1"/>
  <c r="D8" i="1"/>
  <c r="E6" i="1"/>
  <c r="D6" i="1"/>
  <c r="I14" i="18"/>
  <c r="H14" i="18"/>
  <c r="I12" i="18"/>
  <c r="H12" i="18"/>
  <c r="I11" i="18"/>
  <c r="H11" i="18"/>
  <c r="I10" i="18"/>
  <c r="H10" i="18"/>
  <c r="I9" i="18"/>
  <c r="H9" i="18"/>
  <c r="I8" i="18"/>
  <c r="H8" i="18"/>
  <c r="G7" i="18"/>
  <c r="E7" i="18"/>
  <c r="E16" i="18" s="1"/>
  <c r="D7" i="18"/>
  <c r="D16" i="18" s="1"/>
  <c r="I6" i="18"/>
  <c r="H6" i="18"/>
  <c r="I4" i="1"/>
  <c r="H4" i="1"/>
  <c r="I4" i="10"/>
  <c r="H4" i="10"/>
  <c r="I105" i="6"/>
  <c r="I476" i="6"/>
  <c r="H476" i="6"/>
  <c r="I464" i="6"/>
  <c r="H464" i="6"/>
  <c r="I189" i="34"/>
  <c r="H189" i="34"/>
  <c r="I176" i="34"/>
  <c r="H176" i="34"/>
  <c r="I166" i="34"/>
  <c r="H166" i="34"/>
  <c r="I148" i="34"/>
  <c r="H148" i="34"/>
  <c r="I147" i="34"/>
  <c r="H147" i="34"/>
  <c r="I146" i="34"/>
  <c r="H146" i="34"/>
  <c r="I145" i="34"/>
  <c r="H145" i="34"/>
  <c r="I144" i="34"/>
  <c r="H144" i="34"/>
  <c r="I113" i="34"/>
  <c r="H113" i="34"/>
  <c r="I54" i="34"/>
  <c r="H54" i="34"/>
  <c r="I39" i="34"/>
  <c r="H39" i="34"/>
  <c r="I8" i="34"/>
  <c r="H8" i="34"/>
  <c r="G5" i="1" l="1"/>
  <c r="G10" i="1" s="1"/>
  <c r="G16" i="18"/>
  <c r="I16" i="18" s="1"/>
  <c r="A54" i="26"/>
  <c r="A69" i="10"/>
  <c r="G59" i="1"/>
  <c r="I79" i="10"/>
  <c r="H77" i="10"/>
  <c r="H85" i="10"/>
  <c r="H83" i="10"/>
  <c r="I77" i="10"/>
  <c r="H80" i="10"/>
  <c r="I81" i="10"/>
  <c r="I83" i="10"/>
  <c r="I84" i="10"/>
  <c r="I85" i="10"/>
  <c r="D5" i="1"/>
  <c r="D10" i="1" s="1"/>
  <c r="E5" i="1"/>
  <c r="E10" i="1" s="1"/>
  <c r="H79" i="10"/>
  <c r="H81" i="10"/>
  <c r="H84" i="10"/>
  <c r="I80" i="10"/>
  <c r="I82" i="10"/>
  <c r="H82" i="10"/>
  <c r="I78" i="10"/>
  <c r="H78" i="10"/>
  <c r="I7" i="18"/>
  <c r="H7" i="18"/>
  <c r="I6" i="1"/>
  <c r="H6" i="1"/>
  <c r="G86" i="18"/>
  <c r="E86" i="18"/>
  <c r="D86" i="18"/>
  <c r="H16" i="18" l="1"/>
  <c r="G16" i="1"/>
  <c r="A55" i="26"/>
  <c r="A70" i="10"/>
  <c r="H5" i="1"/>
  <c r="I5" i="1"/>
  <c r="C63" i="1"/>
  <c r="I74" i="18"/>
  <c r="I86" i="18"/>
  <c r="H86" i="18"/>
  <c r="H74" i="18"/>
  <c r="I19" i="32"/>
  <c r="H19" i="32"/>
  <c r="I12" i="32"/>
  <c r="H12" i="32"/>
  <c r="I8" i="32"/>
  <c r="H8" i="32"/>
  <c r="I22" i="9"/>
  <c r="H22" i="9"/>
  <c r="I13" i="9"/>
  <c r="H13" i="9"/>
  <c r="I6" i="9"/>
  <c r="H6" i="9"/>
  <c r="H465" i="6"/>
  <c r="I465" i="6"/>
  <c r="I434" i="6"/>
  <c r="H434" i="6"/>
  <c r="I433" i="6"/>
  <c r="H433" i="6"/>
  <c r="I432" i="6"/>
  <c r="H432" i="6"/>
  <c r="I431" i="6"/>
  <c r="H431" i="6"/>
  <c r="I430" i="6"/>
  <c r="H430" i="6"/>
  <c r="I333" i="6"/>
  <c r="H333" i="6"/>
  <c r="I33" i="5"/>
  <c r="H33" i="5"/>
  <c r="I11" i="5"/>
  <c r="H11" i="5"/>
  <c r="I4" i="5"/>
  <c r="H4" i="5"/>
  <c r="I20" i="1"/>
  <c r="H20" i="1"/>
  <c r="I13" i="1"/>
  <c r="H13" i="1"/>
  <c r="I478" i="6"/>
  <c r="H478" i="6"/>
  <c r="I477" i="6"/>
  <c r="H477" i="6"/>
  <c r="I472" i="6"/>
  <c r="H472" i="6"/>
  <c r="I466" i="6"/>
  <c r="H466" i="6"/>
  <c r="I460" i="6"/>
  <c r="H460" i="6"/>
  <c r="I451" i="6"/>
  <c r="H451" i="6"/>
  <c r="I142" i="6"/>
  <c r="H142" i="6"/>
  <c r="H105" i="6"/>
  <c r="I8" i="6"/>
  <c r="H8" i="6"/>
  <c r="D16" i="1"/>
  <c r="G80" i="18"/>
  <c r="G15" i="1" s="1"/>
  <c r="E80" i="18"/>
  <c r="E15" i="1" s="1"/>
  <c r="D80" i="18"/>
  <c r="D15" i="1" s="1"/>
  <c r="I83" i="18"/>
  <c r="H83" i="18"/>
  <c r="I78" i="18"/>
  <c r="H78" i="18"/>
  <c r="I85" i="18"/>
  <c r="I84" i="18"/>
  <c r="I79" i="18"/>
  <c r="I72" i="18"/>
  <c r="I50" i="18"/>
  <c r="I43" i="18"/>
  <c r="I42" i="18"/>
  <c r="I41" i="18"/>
  <c r="I40" i="18"/>
  <c r="I39" i="18"/>
  <c r="I26" i="18"/>
  <c r="I25" i="18"/>
  <c r="I24" i="18"/>
  <c r="I21" i="18"/>
  <c r="H85" i="18"/>
  <c r="H84" i="18"/>
  <c r="H79" i="18"/>
  <c r="H72" i="18"/>
  <c r="H71" i="18" s="1"/>
  <c r="I71" i="18" s="1"/>
  <c r="H50" i="18"/>
  <c r="H43" i="18"/>
  <c r="H42" i="18"/>
  <c r="H41" i="18"/>
  <c r="H40" i="18"/>
  <c r="H39" i="18"/>
  <c r="H26" i="18"/>
  <c r="H25" i="18"/>
  <c r="H24" i="18"/>
  <c r="H21" i="18"/>
  <c r="A56" i="26" l="1"/>
  <c r="A71" i="10"/>
  <c r="H15" i="1"/>
  <c r="I15" i="1"/>
  <c r="E16" i="1"/>
  <c r="H80" i="18"/>
  <c r="I80" i="18"/>
  <c r="I23" i="18"/>
  <c r="H23" i="18"/>
  <c r="A57" i="26" l="1"/>
  <c r="A72" i="10"/>
  <c r="I16" i="1"/>
  <c r="A58" i="26" l="1"/>
  <c r="A73" i="10"/>
  <c r="E14" i="31"/>
  <c r="H16" i="1"/>
  <c r="C59" i="1"/>
  <c r="C60" i="1"/>
  <c r="D59" i="1"/>
  <c r="K8" i="28"/>
  <c r="K8" i="31"/>
  <c r="D47" i="15"/>
  <c r="H47" i="15"/>
  <c r="N62" i="15"/>
  <c r="M62" i="15"/>
  <c r="N61" i="15"/>
  <c r="M61" i="15"/>
  <c r="N46" i="15"/>
  <c r="M46" i="15"/>
  <c r="N9" i="15"/>
  <c r="M9" i="15"/>
  <c r="N8" i="15"/>
  <c r="M8" i="15"/>
  <c r="N26" i="28"/>
  <c r="N21" i="28"/>
  <c r="P63" i="16"/>
  <c r="P60" i="16"/>
  <c r="P59" i="16"/>
  <c r="P58" i="16"/>
  <c r="P57" i="16"/>
  <c r="P55" i="16"/>
  <c r="P54" i="16"/>
  <c r="P53" i="16"/>
  <c r="P63" i="15"/>
  <c r="P60" i="15"/>
  <c r="P59" i="15"/>
  <c r="P58" i="15"/>
  <c r="P57" i="15"/>
  <c r="P55" i="15"/>
  <c r="P54" i="15"/>
  <c r="P53" i="15"/>
  <c r="N23" i="23"/>
  <c r="M23" i="23"/>
  <c r="L23" i="23"/>
  <c r="K23" i="23"/>
  <c r="N22" i="23"/>
  <c r="M22" i="23"/>
  <c r="L22" i="23"/>
  <c r="K22" i="23"/>
  <c r="N21" i="23"/>
  <c r="M21" i="23"/>
  <c r="L21" i="23"/>
  <c r="K21" i="23"/>
  <c r="N19" i="23"/>
  <c r="M19" i="23"/>
  <c r="L19" i="23"/>
  <c r="K19" i="23"/>
  <c r="N16" i="23"/>
  <c r="M16" i="23"/>
  <c r="L16" i="23"/>
  <c r="K16" i="23"/>
  <c r="N15" i="23"/>
  <c r="M15" i="23"/>
  <c r="L15" i="23"/>
  <c r="K15" i="23"/>
  <c r="N14" i="23"/>
  <c r="M14" i="23"/>
  <c r="L14" i="23"/>
  <c r="L13" i="23" s="1"/>
  <c r="K14" i="23"/>
  <c r="N12" i="23"/>
  <c r="L8" i="23"/>
  <c r="N7" i="23"/>
  <c r="N6" i="23"/>
  <c r="N8" i="23" s="1"/>
  <c r="M8" i="23"/>
  <c r="K8" i="23"/>
  <c r="N5" i="23"/>
  <c r="M23" i="21"/>
  <c r="L23" i="21"/>
  <c r="K23" i="21"/>
  <c r="M22" i="21"/>
  <c r="L22" i="21"/>
  <c r="K22" i="21"/>
  <c r="M21" i="21"/>
  <c r="L21" i="21"/>
  <c r="K21" i="21"/>
  <c r="M19" i="21"/>
  <c r="L19" i="21"/>
  <c r="K19" i="21"/>
  <c r="M18" i="21"/>
  <c r="L18" i="21"/>
  <c r="K18" i="21"/>
  <c r="M15" i="21"/>
  <c r="L15" i="21"/>
  <c r="K15" i="21"/>
  <c r="M14" i="21"/>
  <c r="L14" i="21"/>
  <c r="K14" i="21"/>
  <c r="N12" i="21"/>
  <c r="N5" i="21"/>
  <c r="N62" i="16"/>
  <c r="M62" i="16"/>
  <c r="L62" i="16"/>
  <c r="K62" i="16"/>
  <c r="N61" i="16"/>
  <c r="M61" i="16"/>
  <c r="L61" i="16"/>
  <c r="K61" i="16"/>
  <c r="N51" i="16"/>
  <c r="N46" i="16"/>
  <c r="M46" i="16"/>
  <c r="L46" i="16"/>
  <c r="K46" i="16"/>
  <c r="K47" i="16" s="1"/>
  <c r="N44" i="16"/>
  <c r="N38" i="16"/>
  <c r="N37" i="16"/>
  <c r="N36" i="16"/>
  <c r="N35" i="16"/>
  <c r="N33" i="16" s="1"/>
  <c r="N34" i="16"/>
  <c r="M34" i="16"/>
  <c r="L34" i="16"/>
  <c r="K34" i="16"/>
  <c r="N32" i="16"/>
  <c r="N31" i="16"/>
  <c r="N30" i="16"/>
  <c r="N29" i="16"/>
  <c r="N27" i="16" s="1"/>
  <c r="N28" i="16"/>
  <c r="M28" i="16"/>
  <c r="L28" i="16"/>
  <c r="K28" i="16"/>
  <c r="N26" i="16"/>
  <c r="N25" i="16"/>
  <c r="N24" i="16"/>
  <c r="N23" i="16"/>
  <c r="N21" i="16" s="1"/>
  <c r="N20" i="16"/>
  <c r="N19" i="16"/>
  <c r="N18" i="16"/>
  <c r="N17" i="16"/>
  <c r="N14" i="16"/>
  <c r="N6" i="16"/>
  <c r="L62" i="15"/>
  <c r="K62" i="15"/>
  <c r="L61" i="15"/>
  <c r="K61" i="15"/>
  <c r="N51" i="15"/>
  <c r="L46" i="15"/>
  <c r="K46" i="15"/>
  <c r="N44" i="15"/>
  <c r="M34" i="15"/>
  <c r="L34" i="15"/>
  <c r="K34" i="15"/>
  <c r="C33" i="15"/>
  <c r="D33" i="15"/>
  <c r="M28" i="15"/>
  <c r="L28" i="15"/>
  <c r="K28" i="15"/>
  <c r="N14" i="15"/>
  <c r="N6" i="15"/>
  <c r="M26" i="28"/>
  <c r="L26" i="28"/>
  <c r="K26" i="28"/>
  <c r="M21" i="28"/>
  <c r="L21" i="28"/>
  <c r="K21" i="28"/>
  <c r="N20" i="21"/>
  <c r="E13" i="21"/>
  <c r="E27" i="21" s="1"/>
  <c r="E29" i="21" s="1"/>
  <c r="H13" i="21"/>
  <c r="I13" i="21"/>
  <c r="I27" i="21" s="1"/>
  <c r="I29" i="21" s="1"/>
  <c r="C13" i="21"/>
  <c r="F8" i="21"/>
  <c r="G8" i="21"/>
  <c r="L6" i="21"/>
  <c r="L8" i="21" s="1"/>
  <c r="D17" i="23"/>
  <c r="L24" i="23"/>
  <c r="N24" i="23"/>
  <c r="G17" i="23"/>
  <c r="G27" i="23" s="1"/>
  <c r="F17" i="23"/>
  <c r="C17" i="21"/>
  <c r="K25" i="21"/>
  <c r="K25" i="23"/>
  <c r="K16" i="21"/>
  <c r="K13" i="21"/>
  <c r="L25" i="23"/>
  <c r="N25" i="23"/>
  <c r="K9" i="15"/>
  <c r="I15" i="31"/>
  <c r="H15" i="31"/>
  <c r="G15" i="31"/>
  <c r="F15" i="31"/>
  <c r="E15" i="31"/>
  <c r="D15" i="31"/>
  <c r="C15" i="31"/>
  <c r="H14" i="31"/>
  <c r="D14" i="31"/>
  <c r="C14" i="31"/>
  <c r="I6" i="31"/>
  <c r="H6" i="31"/>
  <c r="G6" i="31"/>
  <c r="F6" i="31"/>
  <c r="E6" i="31"/>
  <c r="D6" i="31"/>
  <c r="C6" i="31"/>
  <c r="H5" i="31"/>
  <c r="D5" i="31"/>
  <c r="C5" i="31"/>
  <c r="H28" i="29"/>
  <c r="G28" i="29"/>
  <c r="F28" i="29"/>
  <c r="E28" i="29"/>
  <c r="D28" i="29"/>
  <c r="C28" i="29"/>
  <c r="B28" i="29"/>
  <c r="H24" i="29"/>
  <c r="G24" i="29"/>
  <c r="F24" i="29"/>
  <c r="E24" i="29"/>
  <c r="D24" i="29"/>
  <c r="C24" i="29"/>
  <c r="C33" i="29" s="1"/>
  <c r="B24" i="29"/>
  <c r="C8" i="23"/>
  <c r="I13" i="23"/>
  <c r="H13" i="23"/>
  <c r="G13" i="23"/>
  <c r="F13" i="23"/>
  <c r="F27" i="23"/>
  <c r="F29" i="23"/>
  <c r="E13" i="23"/>
  <c r="D13" i="23"/>
  <c r="D27" i="23"/>
  <c r="D29" i="23" s="1"/>
  <c r="C13" i="23"/>
  <c r="C27" i="23" s="1"/>
  <c r="C29" i="23" s="1"/>
  <c r="N23" i="21"/>
  <c r="N22" i="21"/>
  <c r="N21" i="21"/>
  <c r="N19" i="21"/>
  <c r="N17" i="21" s="1"/>
  <c r="N18" i="21"/>
  <c r="H17" i="21"/>
  <c r="F17" i="21"/>
  <c r="N15" i="21"/>
  <c r="N14" i="21"/>
  <c r="G13" i="21"/>
  <c r="G27" i="21" s="1"/>
  <c r="G29" i="21" s="1"/>
  <c r="I8" i="23"/>
  <c r="H8" i="23"/>
  <c r="G8" i="23"/>
  <c r="F8" i="23"/>
  <c r="E8" i="23"/>
  <c r="D8" i="23"/>
  <c r="I8" i="21"/>
  <c r="H8" i="21"/>
  <c r="E8" i="21"/>
  <c r="D8" i="21"/>
  <c r="N7" i="21"/>
  <c r="I27" i="16"/>
  <c r="I33" i="16"/>
  <c r="H27" i="16"/>
  <c r="L27" i="16" s="1"/>
  <c r="H33" i="16"/>
  <c r="G27" i="16"/>
  <c r="G33" i="16"/>
  <c r="F27" i="16"/>
  <c r="F33" i="16"/>
  <c r="E27" i="16"/>
  <c r="E33" i="16"/>
  <c r="D27" i="16"/>
  <c r="D39" i="16" s="1"/>
  <c r="D33" i="16"/>
  <c r="C27" i="16"/>
  <c r="M27" i="16" s="1"/>
  <c r="C33" i="16"/>
  <c r="K33" i="16" s="1"/>
  <c r="N35" i="15"/>
  <c r="N33" i="15" s="1"/>
  <c r="C27" i="15"/>
  <c r="D27" i="15"/>
  <c r="E33" i="15"/>
  <c r="F33" i="15"/>
  <c r="G33" i="15"/>
  <c r="H33" i="15"/>
  <c r="I33" i="15"/>
  <c r="N38" i="15"/>
  <c r="N37" i="15"/>
  <c r="N36" i="15"/>
  <c r="N34" i="15"/>
  <c r="N32" i="15"/>
  <c r="N31" i="15"/>
  <c r="N30" i="15"/>
  <c r="N29" i="15"/>
  <c r="N28" i="15"/>
  <c r="N26" i="15"/>
  <c r="N25" i="15"/>
  <c r="N24" i="15"/>
  <c r="N23" i="15"/>
  <c r="N20" i="15"/>
  <c r="N19" i="15"/>
  <c r="N18" i="15"/>
  <c r="N17" i="15"/>
  <c r="I27" i="15"/>
  <c r="H27" i="15"/>
  <c r="G27" i="15"/>
  <c r="F27" i="15"/>
  <c r="L27" i="15" s="1"/>
  <c r="E27" i="15"/>
  <c r="B17" i="29"/>
  <c r="C17" i="29"/>
  <c r="D17" i="29"/>
  <c r="E17" i="29"/>
  <c r="F17" i="29"/>
  <c r="G17" i="29"/>
  <c r="H17" i="29"/>
  <c r="I15" i="28"/>
  <c r="H15" i="28"/>
  <c r="G15" i="28"/>
  <c r="F15" i="28"/>
  <c r="E15" i="28"/>
  <c r="D15" i="28"/>
  <c r="C15" i="28"/>
  <c r="H14" i="28"/>
  <c r="D14" i="28"/>
  <c r="C14" i="28"/>
  <c r="I6" i="28"/>
  <c r="H6" i="28"/>
  <c r="G6" i="28"/>
  <c r="F6" i="28"/>
  <c r="E6" i="28"/>
  <c r="D6" i="28"/>
  <c r="C6" i="28"/>
  <c r="H5" i="28"/>
  <c r="D5" i="28"/>
  <c r="C5" i="28"/>
  <c r="L8" i="15"/>
  <c r="I17" i="23"/>
  <c r="I27" i="23"/>
  <c r="I29" i="23"/>
  <c r="I17" i="21"/>
  <c r="K8" i="15"/>
  <c r="L9" i="15"/>
  <c r="M25" i="23"/>
  <c r="K20" i="23"/>
  <c r="E17" i="21"/>
  <c r="M20" i="21"/>
  <c r="K20" i="21"/>
  <c r="D17" i="21"/>
  <c r="M25" i="21"/>
  <c r="K24" i="21"/>
  <c r="D47" i="16"/>
  <c r="F47" i="16"/>
  <c r="H47" i="16"/>
  <c r="I47" i="16"/>
  <c r="G47" i="16"/>
  <c r="D10" i="16"/>
  <c r="G10" i="16"/>
  <c r="K9" i="16"/>
  <c r="N9" i="16"/>
  <c r="E47" i="15"/>
  <c r="I47" i="15"/>
  <c r="F47" i="15"/>
  <c r="C27" i="21"/>
  <c r="C29" i="21" s="1"/>
  <c r="M13" i="23"/>
  <c r="H27" i="21"/>
  <c r="H29" i="21"/>
  <c r="C17" i="23"/>
  <c r="K18" i="23"/>
  <c r="K17" i="23" s="1"/>
  <c r="N18" i="23"/>
  <c r="I10" i="16"/>
  <c r="K24" i="23"/>
  <c r="M18" i="23"/>
  <c r="H10" i="16"/>
  <c r="N7" i="16"/>
  <c r="C47" i="16"/>
  <c r="M45" i="16"/>
  <c r="M47" i="16" s="1"/>
  <c r="M24" i="23"/>
  <c r="N25" i="21"/>
  <c r="L25" i="21"/>
  <c r="H17" i="23"/>
  <c r="N20" i="23"/>
  <c r="M20" i="23"/>
  <c r="M17" i="23" s="1"/>
  <c r="M27" i="23" s="1"/>
  <c r="M29" i="23" s="1"/>
  <c r="L16" i="21"/>
  <c r="F13" i="21"/>
  <c r="L8" i="16"/>
  <c r="N6" i="21"/>
  <c r="N8" i="21" s="1"/>
  <c r="D13" i="21"/>
  <c r="D27" i="21" s="1"/>
  <c r="D29" i="21" s="1"/>
  <c r="N16" i="21"/>
  <c r="M16" i="21"/>
  <c r="M13" i="21"/>
  <c r="N24" i="21"/>
  <c r="L24" i="21"/>
  <c r="M24" i="21"/>
  <c r="G17" i="21"/>
  <c r="L20" i="21"/>
  <c r="C8" i="21"/>
  <c r="K6" i="21"/>
  <c r="K8" i="21" s="1"/>
  <c r="M6" i="21"/>
  <c r="M8" i="21"/>
  <c r="G29" i="23"/>
  <c r="L20" i="23"/>
  <c r="L18" i="23"/>
  <c r="E17" i="23"/>
  <c r="E27" i="23" s="1"/>
  <c r="E29" i="23" s="1"/>
  <c r="M8" i="31"/>
  <c r="K7" i="31"/>
  <c r="N8" i="31"/>
  <c r="L8" i="31"/>
  <c r="L9" i="31"/>
  <c r="L7" i="28"/>
  <c r="M9" i="31"/>
  <c r="N9" i="31"/>
  <c r="K9" i="28"/>
  <c r="K7" i="28"/>
  <c r="K9" i="31"/>
  <c r="N7" i="28"/>
  <c r="N7" i="31"/>
  <c r="L7" i="31"/>
  <c r="M7" i="28"/>
  <c r="M7" i="31"/>
  <c r="L8" i="28"/>
  <c r="N9" i="28"/>
  <c r="M9" i="28"/>
  <c r="N8" i="28"/>
  <c r="L9" i="28"/>
  <c r="M8" i="28"/>
  <c r="E10" i="16"/>
  <c r="M8" i="16"/>
  <c r="K45" i="16"/>
  <c r="F10" i="16"/>
  <c r="L9" i="16"/>
  <c r="L7" i="16"/>
  <c r="N8" i="16"/>
  <c r="L45" i="15"/>
  <c r="N45" i="15"/>
  <c r="N47" i="15" s="1"/>
  <c r="K8" i="16"/>
  <c r="C10" i="16"/>
  <c r="L45" i="16"/>
  <c r="L47" i="16"/>
  <c r="L55" i="15"/>
  <c r="N55" i="15"/>
  <c r="M9" i="16"/>
  <c r="E47" i="16"/>
  <c r="N45" i="16"/>
  <c r="N47" i="16" s="1"/>
  <c r="M7" i="16"/>
  <c r="K7" i="16"/>
  <c r="G47" i="15"/>
  <c r="K45" i="15"/>
  <c r="K47" i="15" s="1"/>
  <c r="K55" i="15"/>
  <c r="M55" i="15"/>
  <c r="M45" i="15"/>
  <c r="M47" i="15" s="1"/>
  <c r="C47" i="15"/>
  <c r="N17" i="23"/>
  <c r="L10" i="16"/>
  <c r="D10" i="15"/>
  <c r="F10" i="15"/>
  <c r="K65" i="15"/>
  <c r="E10" i="15"/>
  <c r="K7" i="15"/>
  <c r="C10" i="15"/>
  <c r="H10" i="15"/>
  <c r="G10" i="15"/>
  <c r="I10" i="15"/>
  <c r="L7" i="15"/>
  <c r="N7" i="15"/>
  <c r="N10" i="15" s="1"/>
  <c r="M7" i="15"/>
  <c r="M10" i="15" s="1"/>
  <c r="N65" i="15"/>
  <c r="M65" i="15"/>
  <c r="L65" i="15"/>
  <c r="L55" i="16"/>
  <c r="K55" i="16"/>
  <c r="M55" i="16"/>
  <c r="N55" i="16"/>
  <c r="C15" i="15"/>
  <c r="D15" i="15"/>
  <c r="K15" i="15" s="1"/>
  <c r="E15" i="15"/>
  <c r="F15" i="15"/>
  <c r="F39" i="15" s="1"/>
  <c r="G15" i="15"/>
  <c r="H15" i="15"/>
  <c r="H54" i="15" s="1"/>
  <c r="H52" i="15" s="1"/>
  <c r="H66" i="15" s="1"/>
  <c r="H68" i="15" s="1"/>
  <c r="I15" i="15"/>
  <c r="I54" i="15" s="1"/>
  <c r="I52" i="15" s="1"/>
  <c r="N16" i="15"/>
  <c r="N15" i="15" s="1"/>
  <c r="M53" i="15"/>
  <c r="N53" i="15"/>
  <c r="K53" i="15"/>
  <c r="N59" i="15"/>
  <c r="L59" i="15"/>
  <c r="K64" i="15"/>
  <c r="M64" i="15"/>
  <c r="N64" i="15"/>
  <c r="M16" i="15"/>
  <c r="L64" i="15"/>
  <c r="M59" i="15"/>
  <c r="L53" i="15"/>
  <c r="K16" i="15"/>
  <c r="K59" i="15"/>
  <c r="L16" i="15"/>
  <c r="C54" i="15"/>
  <c r="C15" i="16"/>
  <c r="K15" i="16" s="1"/>
  <c r="K39" i="16" s="1"/>
  <c r="C54" i="16"/>
  <c r="C52" i="16" s="1"/>
  <c r="D15" i="16"/>
  <c r="E15" i="16"/>
  <c r="E54" i="16"/>
  <c r="F15" i="16"/>
  <c r="G15" i="16"/>
  <c r="G54" i="16" s="1"/>
  <c r="G52" i="16" s="1"/>
  <c r="H15" i="16"/>
  <c r="H54" i="16" s="1"/>
  <c r="I15" i="16"/>
  <c r="L16" i="16"/>
  <c r="N53" i="16"/>
  <c r="M59" i="16"/>
  <c r="L59" i="16"/>
  <c r="N59" i="16"/>
  <c r="M64" i="16"/>
  <c r="N64" i="16"/>
  <c r="K64" i="16"/>
  <c r="M22" i="16"/>
  <c r="K53" i="16"/>
  <c r="N16" i="16"/>
  <c r="K59" i="16"/>
  <c r="M16" i="16"/>
  <c r="L64" i="16"/>
  <c r="M53" i="16"/>
  <c r="K16" i="16"/>
  <c r="H21" i="16"/>
  <c r="H39" i="16" s="1"/>
  <c r="H21" i="15"/>
  <c r="D21" i="16"/>
  <c r="D58" i="16"/>
  <c r="D56" i="16" s="1"/>
  <c r="D21" i="15"/>
  <c r="K21" i="15" s="1"/>
  <c r="L53" i="16"/>
  <c r="G21" i="15"/>
  <c r="G58" i="15" s="1"/>
  <c r="G56" i="15" s="1"/>
  <c r="G21" i="16"/>
  <c r="K22" i="16"/>
  <c r="C21" i="16"/>
  <c r="F21" i="15"/>
  <c r="F58" i="15" s="1"/>
  <c r="F21" i="16"/>
  <c r="F58" i="16"/>
  <c r="I21" i="15"/>
  <c r="I21" i="16"/>
  <c r="E21" i="16"/>
  <c r="E58" i="16" s="1"/>
  <c r="L22" i="16"/>
  <c r="N22" i="16"/>
  <c r="I58" i="16"/>
  <c r="I56" i="16" s="1"/>
  <c r="K60" i="16"/>
  <c r="M60" i="16"/>
  <c r="N60" i="16"/>
  <c r="G58" i="16"/>
  <c r="G56" i="16" s="1"/>
  <c r="D58" i="15"/>
  <c r="M63" i="16"/>
  <c r="N63" i="16"/>
  <c r="K63" i="16"/>
  <c r="M57" i="16"/>
  <c r="N57" i="16"/>
  <c r="K57" i="16"/>
  <c r="I58" i="15"/>
  <c r="I39" i="15"/>
  <c r="L60" i="16"/>
  <c r="N22" i="15"/>
  <c r="K22" i="15"/>
  <c r="C21" i="15"/>
  <c r="M22" i="15"/>
  <c r="E21" i="15"/>
  <c r="E58" i="15" s="1"/>
  <c r="M21" i="15"/>
  <c r="L22" i="15"/>
  <c r="L57" i="16"/>
  <c r="L63" i="16"/>
  <c r="H58" i="16"/>
  <c r="H56" i="16" s="1"/>
  <c r="C39" i="15"/>
  <c r="K19" i="28"/>
  <c r="N18" i="28"/>
  <c r="K18" i="28"/>
  <c r="N25" i="28"/>
  <c r="G16" i="28"/>
  <c r="G29" i="28" s="1"/>
  <c r="N28" i="28"/>
  <c r="L17" i="28"/>
  <c r="M27" i="28"/>
  <c r="M17" i="28"/>
  <c r="M22" i="28"/>
  <c r="D20" i="28"/>
  <c r="L24" i="28"/>
  <c r="L23" i="28"/>
  <c r="L25" i="28"/>
  <c r="M25" i="28"/>
  <c r="L19" i="28"/>
  <c r="M19" i="28"/>
  <c r="L28" i="28"/>
  <c r="C20" i="28"/>
  <c r="N24" i="28"/>
  <c r="M24" i="28"/>
  <c r="K24" i="28"/>
  <c r="I20" i="28"/>
  <c r="K27" i="28"/>
  <c r="N23" i="28"/>
  <c r="K22" i="28"/>
  <c r="F20" i="28"/>
  <c r="H20" i="28"/>
  <c r="M28" i="28"/>
  <c r="L27" i="28"/>
  <c r="K25" i="28"/>
  <c r="M23" i="28"/>
  <c r="L22" i="28"/>
  <c r="G20" i="28"/>
  <c r="L18" i="28"/>
  <c r="K28" i="28"/>
  <c r="N27" i="28"/>
  <c r="K23" i="28"/>
  <c r="N22" i="28"/>
  <c r="E20" i="28"/>
  <c r="N19" i="28"/>
  <c r="H16" i="28"/>
  <c r="D16" i="28"/>
  <c r="K16" i="28" s="1"/>
  <c r="N17" i="28"/>
  <c r="K17" i="28"/>
  <c r="C16" i="28"/>
  <c r="I16" i="28"/>
  <c r="I29" i="28"/>
  <c r="E16" i="28"/>
  <c r="E29" i="28" s="1"/>
  <c r="M18" i="28"/>
  <c r="F16" i="28"/>
  <c r="B7" i="29"/>
  <c r="C7" i="29"/>
  <c r="C14" i="29" s="1"/>
  <c r="D7" i="29"/>
  <c r="E7" i="29"/>
  <c r="F7" i="29"/>
  <c r="F14" i="29" s="1"/>
  <c r="G7" i="29"/>
  <c r="G14" i="29" s="1"/>
  <c r="H7" i="29"/>
  <c r="M19" i="31"/>
  <c r="K19" i="31"/>
  <c r="N19" i="31"/>
  <c r="K28" i="31"/>
  <c r="M28" i="31"/>
  <c r="N28" i="31"/>
  <c r="N22" i="31"/>
  <c r="M22" i="31"/>
  <c r="K22" i="31"/>
  <c r="G16" i="31"/>
  <c r="G29" i="31" s="1"/>
  <c r="H16" i="31"/>
  <c r="N16" i="31" s="1"/>
  <c r="L24" i="31"/>
  <c r="E20" i="31"/>
  <c r="L21" i="31"/>
  <c r="L25" i="31"/>
  <c r="F16" i="31"/>
  <c r="K17" i="31"/>
  <c r="N17" i="31"/>
  <c r="M17" i="31"/>
  <c r="C16" i="31"/>
  <c r="M23" i="31"/>
  <c r="K23" i="31"/>
  <c r="N23" i="31"/>
  <c r="N21" i="31"/>
  <c r="K21" i="31"/>
  <c r="C20" i="31"/>
  <c r="K20" i="31" s="1"/>
  <c r="M21" i="31"/>
  <c r="G20" i="31"/>
  <c r="D16" i="31"/>
  <c r="M16" i="31" s="1"/>
  <c r="H20" i="31"/>
  <c r="L22" i="31"/>
  <c r="L26" i="31"/>
  <c r="L19" i="31"/>
  <c r="I16" i="31"/>
  <c r="I29" i="31" s="1"/>
  <c r="N24" i="31"/>
  <c r="K24" i="31"/>
  <c r="M24" i="31"/>
  <c r="N25" i="31"/>
  <c r="K25" i="31"/>
  <c r="M25" i="31"/>
  <c r="D20" i="31"/>
  <c r="D29" i="31" s="1"/>
  <c r="L28" i="31"/>
  <c r="L23" i="31"/>
  <c r="M26" i="31"/>
  <c r="K26" i="31"/>
  <c r="N26" i="31"/>
  <c r="M18" i="31"/>
  <c r="K18" i="31"/>
  <c r="N18" i="31"/>
  <c r="N27" i="31"/>
  <c r="K27" i="31"/>
  <c r="M27" i="31"/>
  <c r="L17" i="31"/>
  <c r="E16" i="31"/>
  <c r="E29" i="31"/>
  <c r="L27" i="31"/>
  <c r="L18" i="31"/>
  <c r="I20" i="31"/>
  <c r="F20" i="31"/>
  <c r="F29" i="31" s="1"/>
  <c r="K16" i="31"/>
  <c r="D56" i="15"/>
  <c r="F56" i="15"/>
  <c r="I56" i="15"/>
  <c r="I66" i="15" s="1"/>
  <c r="I68" i="15" s="1"/>
  <c r="K57" i="15"/>
  <c r="L57" i="15"/>
  <c r="M57" i="15"/>
  <c r="N57" i="15"/>
  <c r="K60" i="15"/>
  <c r="L60" i="15"/>
  <c r="M60" i="15"/>
  <c r="N60" i="15"/>
  <c r="K63" i="15"/>
  <c r="L63" i="15"/>
  <c r="M63" i="15"/>
  <c r="N63" i="15"/>
  <c r="F32" i="29"/>
  <c r="F37" i="29" s="1"/>
  <c r="G32" i="29"/>
  <c r="G37" i="29"/>
  <c r="G22" i="29"/>
  <c r="F22" i="29"/>
  <c r="F36" i="29" s="1"/>
  <c r="C22" i="29"/>
  <c r="C32" i="29"/>
  <c r="C37" i="29" s="1"/>
  <c r="C36" i="29"/>
  <c r="E32" i="29"/>
  <c r="E37" i="29" s="1"/>
  <c r="H32" i="29"/>
  <c r="H37" i="29" s="1"/>
  <c r="E22" i="29"/>
  <c r="E33" i="29" s="1"/>
  <c r="E38" i="29"/>
  <c r="H22" i="29"/>
  <c r="F38" i="29"/>
  <c r="E13" i="29"/>
  <c r="E14" i="29"/>
  <c r="H38" i="29"/>
  <c r="G38" i="29"/>
  <c r="D32" i="29"/>
  <c r="D37" i="29"/>
  <c r="B32" i="29"/>
  <c r="G13" i="29"/>
  <c r="H13" i="29"/>
  <c r="H14" i="29"/>
  <c r="F13" i="29"/>
  <c r="B22" i="29"/>
  <c r="D22" i="29"/>
  <c r="B36" i="29"/>
  <c r="B38" i="29"/>
  <c r="B13" i="29"/>
  <c r="B14" i="29"/>
  <c r="D38" i="29"/>
  <c r="D13" i="29"/>
  <c r="D14" i="29" s="1"/>
  <c r="C13" i="29"/>
  <c r="C38" i="29"/>
  <c r="H39" i="15"/>
  <c r="H58" i="15"/>
  <c r="H56" i="15"/>
  <c r="E70" i="16"/>
  <c r="E52" i="16"/>
  <c r="K21" i="16"/>
  <c r="C39" i="16"/>
  <c r="C58" i="16"/>
  <c r="D54" i="16"/>
  <c r="D70" i="16" s="1"/>
  <c r="G54" i="15"/>
  <c r="G52" i="15" s="1"/>
  <c r="L16" i="31"/>
  <c r="G66" i="16"/>
  <c r="G68" i="16"/>
  <c r="G70" i="16"/>
  <c r="C70" i="16"/>
  <c r="C58" i="15"/>
  <c r="C52" i="15"/>
  <c r="E39" i="16"/>
  <c r="K27" i="16"/>
  <c r="K58" i="16"/>
  <c r="K56" i="16" s="1"/>
  <c r="C56" i="16"/>
  <c r="A74" i="10" l="1"/>
  <c r="B31" i="26"/>
  <c r="E31" i="26"/>
  <c r="E14" i="28"/>
  <c r="E5" i="31"/>
  <c r="E5" i="28"/>
  <c r="C61" i="1"/>
  <c r="C51" i="5"/>
  <c r="E56" i="15"/>
  <c r="L58" i="15"/>
  <c r="L56" i="15" s="1"/>
  <c r="E66" i="16"/>
  <c r="E68" i="16" s="1"/>
  <c r="M56" i="16"/>
  <c r="N58" i="15"/>
  <c r="N56" i="15" s="1"/>
  <c r="E56" i="16"/>
  <c r="N58" i="16"/>
  <c r="N56" i="16" s="1"/>
  <c r="H52" i="16"/>
  <c r="H66" i="16" s="1"/>
  <c r="H68" i="16" s="1"/>
  <c r="H70" i="16"/>
  <c r="D52" i="16"/>
  <c r="D66" i="16" s="1"/>
  <c r="D68" i="16" s="1"/>
  <c r="D33" i="29"/>
  <c r="N21" i="15"/>
  <c r="N39" i="15" s="1"/>
  <c r="L17" i="23"/>
  <c r="L27" i="23" s="1"/>
  <c r="L29" i="23" s="1"/>
  <c r="N27" i="15"/>
  <c r="L13" i="21"/>
  <c r="L27" i="21" s="1"/>
  <c r="L29" i="21" s="1"/>
  <c r="K17" i="21"/>
  <c r="K27" i="21" s="1"/>
  <c r="K29" i="21" s="1"/>
  <c r="M17" i="21"/>
  <c r="M27" i="21" s="1"/>
  <c r="M29" i="21" s="1"/>
  <c r="M58" i="16"/>
  <c r="L21" i="16"/>
  <c r="M21" i="16"/>
  <c r="L21" i="15"/>
  <c r="E36" i="29"/>
  <c r="N15" i="16"/>
  <c r="N39" i="16" s="1"/>
  <c r="L10" i="15"/>
  <c r="K10" i="16"/>
  <c r="M10" i="16"/>
  <c r="L47" i="15"/>
  <c r="L17" i="21"/>
  <c r="N13" i="21"/>
  <c r="N27" i="21" s="1"/>
  <c r="N29" i="21" s="1"/>
  <c r="F27" i="21"/>
  <c r="F29" i="21" s="1"/>
  <c r="G66" i="15"/>
  <c r="G68" i="15" s="1"/>
  <c r="F33" i="29"/>
  <c r="L20" i="28"/>
  <c r="D54" i="15"/>
  <c r="K54" i="15" s="1"/>
  <c r="K52" i="15" s="1"/>
  <c r="K66" i="15" s="1"/>
  <c r="K68" i="15" s="1"/>
  <c r="G39" i="15"/>
  <c r="K10" i="15"/>
  <c r="N10" i="16"/>
  <c r="L33" i="16"/>
  <c r="N13" i="23"/>
  <c r="N27" i="23" s="1"/>
  <c r="N29" i="23" s="1"/>
  <c r="K20" i="28"/>
  <c r="M20" i="28"/>
  <c r="N20" i="28"/>
  <c r="C66" i="16"/>
  <c r="C68" i="16" s="1"/>
  <c r="H36" i="29"/>
  <c r="H33" i="29"/>
  <c r="L16" i="28"/>
  <c r="L29" i="28" s="1"/>
  <c r="N16" i="28"/>
  <c r="H29" i="28"/>
  <c r="M16" i="28"/>
  <c r="M29" i="28" s="1"/>
  <c r="M58" i="15"/>
  <c r="M56" i="15" s="1"/>
  <c r="K58" i="15"/>
  <c r="K56" i="15" s="1"/>
  <c r="C56" i="15"/>
  <c r="C66" i="15" s="1"/>
  <c r="C68" i="15" s="1"/>
  <c r="K54" i="16"/>
  <c r="K52" i="16" s="1"/>
  <c r="K66" i="16" s="1"/>
  <c r="K68" i="16" s="1"/>
  <c r="G36" i="29"/>
  <c r="G33" i="29"/>
  <c r="M20" i="31"/>
  <c r="M29" i="31" s="1"/>
  <c r="N20" i="31"/>
  <c r="C29" i="31"/>
  <c r="B37" i="29"/>
  <c r="B33" i="29"/>
  <c r="H29" i="31"/>
  <c r="L20" i="31"/>
  <c r="L29" i="31" s="1"/>
  <c r="E54" i="15"/>
  <c r="L15" i="15"/>
  <c r="M15" i="15"/>
  <c r="E39" i="15"/>
  <c r="D36" i="29"/>
  <c r="N29" i="31"/>
  <c r="K29" i="28"/>
  <c r="K29" i="31"/>
  <c r="F56" i="16"/>
  <c r="L58" i="16"/>
  <c r="L56" i="16" s="1"/>
  <c r="F39" i="16"/>
  <c r="F54" i="16"/>
  <c r="M15" i="16"/>
  <c r="L15" i="16"/>
  <c r="D52" i="15"/>
  <c r="D66" i="15" s="1"/>
  <c r="D68" i="15" s="1"/>
  <c r="C29" i="28"/>
  <c r="I54" i="16"/>
  <c r="I39" i="16"/>
  <c r="M33" i="15"/>
  <c r="D39" i="15"/>
  <c r="F29" i="28"/>
  <c r="D29" i="28"/>
  <c r="F54" i="15"/>
  <c r="F52" i="15" s="1"/>
  <c r="F66" i="15" s="1"/>
  <c r="F68" i="15" s="1"/>
  <c r="K33" i="15"/>
  <c r="G39" i="16"/>
  <c r="K13" i="23"/>
  <c r="K27" i="23" s="1"/>
  <c r="K29" i="23" s="1"/>
  <c r="L33" i="15"/>
  <c r="M33" i="16"/>
  <c r="H27" i="23"/>
  <c r="H29" i="23" s="1"/>
  <c r="M27" i="15"/>
  <c r="K27" i="15"/>
  <c r="N6" i="31"/>
  <c r="N15" i="31"/>
  <c r="N6" i="28"/>
  <c r="N15" i="28"/>
  <c r="F5" i="28" l="1"/>
  <c r="F5" i="31"/>
  <c r="F14" i="31"/>
  <c r="F14" i="28"/>
  <c r="E59" i="1"/>
  <c r="M39" i="15"/>
  <c r="L39" i="16"/>
  <c r="K39" i="15"/>
  <c r="L39" i="15"/>
  <c r="M39" i="16"/>
  <c r="E52" i="15"/>
  <c r="E66" i="15" s="1"/>
  <c r="E68" i="15" s="1"/>
  <c r="M54" i="15"/>
  <c r="M52" i="15" s="1"/>
  <c r="M66" i="15" s="1"/>
  <c r="M68" i="15" s="1"/>
  <c r="N54" i="15"/>
  <c r="N52" i="15" s="1"/>
  <c r="N66" i="15" s="1"/>
  <c r="N68" i="15" s="1"/>
  <c r="L54" i="15"/>
  <c r="L52" i="15" s="1"/>
  <c r="L66" i="15" s="1"/>
  <c r="L68" i="15" s="1"/>
  <c r="I70" i="16"/>
  <c r="I52" i="16"/>
  <c r="I66" i="16" s="1"/>
  <c r="I68" i="16" s="1"/>
  <c r="F70" i="16"/>
  <c r="F52" i="16"/>
  <c r="F66" i="16" s="1"/>
  <c r="F68" i="16" s="1"/>
  <c r="L54" i="16"/>
  <c r="L52" i="16" s="1"/>
  <c r="L66" i="16" s="1"/>
  <c r="L68" i="16" s="1"/>
  <c r="N54" i="16"/>
  <c r="N52" i="16" s="1"/>
  <c r="N66" i="16" s="1"/>
  <c r="N68" i="16" s="1"/>
  <c r="M54" i="16"/>
  <c r="M52" i="16" s="1"/>
  <c r="M66" i="16" s="1"/>
  <c r="M68" i="16" s="1"/>
  <c r="N29" i="28"/>
  <c r="G14" i="31" l="1"/>
  <c r="G14" i="28"/>
  <c r="G5" i="31"/>
  <c r="G5" i="28"/>
  <c r="I8" i="1"/>
  <c r="H8" i="1"/>
  <c r="I5" i="31" l="1"/>
  <c r="I5" i="28"/>
  <c r="I14" i="28"/>
  <c r="I14" i="31"/>
  <c r="H10" i="1"/>
  <c r="H59" i="1" s="1"/>
  <c r="I10" i="1"/>
  <c r="I59" i="1" s="1"/>
  <c r="B59" i="1" l="1" a="1"/>
  <c r="B59" i="1" s="1"/>
  <c r="Q12" i="13" l="1"/>
  <c r="P12" i="13"/>
  <c r="P10" i="13"/>
  <c r="Q10" i="13"/>
  <c r="AG10" i="13"/>
  <c r="AF10" i="13"/>
  <c r="AO9" i="13"/>
  <c r="AN9" i="13"/>
  <c r="X11" i="13"/>
  <c r="Y11" i="13"/>
  <c r="BM9" i="13"/>
  <c r="BL9" i="13"/>
  <c r="Q13" i="13"/>
  <c r="P13" i="13"/>
  <c r="BE12" i="13"/>
  <c r="BD12" i="13"/>
  <c r="BE13" i="13"/>
  <c r="BD13" i="13"/>
  <c r="BE14" i="13"/>
  <c r="BD14" i="13"/>
  <c r="X14" i="13"/>
  <c r="Y14" i="13"/>
  <c r="Y9" i="13"/>
  <c r="X9" i="13"/>
  <c r="BE10" i="13"/>
  <c r="BD10" i="13"/>
  <c r="AN10" i="13"/>
  <c r="AO10" i="13"/>
  <c r="BE9" i="13"/>
  <c r="BD9" i="13"/>
  <c r="BD11" i="13"/>
  <c r="BE11" i="13"/>
  <c r="Y10" i="13"/>
  <c r="X10" i="13"/>
  <c r="P9" i="13"/>
  <c r="Q9" i="13"/>
  <c r="BM10" i="13"/>
  <c r="BL10" i="13"/>
  <c r="AW9" i="13"/>
  <c r="AV9" i="13"/>
  <c r="Q11" i="13"/>
  <c r="P11" i="13"/>
  <c r="AW10" i="13"/>
  <c r="AV10" i="13"/>
  <c r="Y13" i="13"/>
  <c r="X13" i="13"/>
  <c r="AF9" i="13"/>
  <c r="AG9" i="13"/>
  <c r="I10" i="13" l="1"/>
  <c r="H10" i="13"/>
  <c r="I9" i="13"/>
  <c r="H9" i="13"/>
  <c r="I7" i="9" l="1"/>
  <c r="H7" i="9"/>
  <c r="I116" i="10"/>
  <c r="H116" i="10"/>
  <c r="I112" i="10"/>
  <c r="C111" i="10"/>
  <c r="H112" i="10"/>
  <c r="I114" i="10"/>
  <c r="H114" i="10"/>
  <c r="I115" i="10"/>
  <c r="H115" i="10"/>
  <c r="H113" i="10"/>
  <c r="I113" i="10"/>
  <c r="I8" i="9"/>
  <c r="H8" i="9"/>
  <c r="I117" i="10"/>
  <c r="H117" i="10"/>
  <c r="C27" i="19" l="1"/>
  <c r="C24" i="19" s="1"/>
  <c r="I111" i="10"/>
  <c r="H111" i="10"/>
  <c r="C121" i="10"/>
  <c r="C34" i="1"/>
  <c r="I34" i="1" l="1"/>
  <c r="C25" i="1"/>
  <c r="H34" i="1"/>
  <c r="C62" i="1" l="1"/>
  <c r="C39" i="1"/>
  <c r="C41" i="1" l="1"/>
  <c r="C5" i="19"/>
  <c r="C6" i="19" l="1"/>
  <c r="C34" i="19" l="1"/>
  <c r="C42" i="19" l="1"/>
  <c r="C51" i="19" l="1"/>
  <c r="C55" i="19" l="1"/>
  <c r="D75" i="18" l="1"/>
  <c r="D14" i="1" l="1"/>
  <c r="D46" i="1" l="1"/>
  <c r="D17" i="1"/>
  <c r="D60" i="1" l="1"/>
  <c r="G75" i="18"/>
  <c r="H38" i="18"/>
  <c r="I38" i="18" l="1"/>
  <c r="F75" i="18"/>
  <c r="F14" i="1" s="1"/>
  <c r="E75" i="18"/>
  <c r="G14" i="1"/>
  <c r="I22" i="18"/>
  <c r="I75" i="18" l="1"/>
  <c r="H75" i="18"/>
  <c r="E14" i="1"/>
  <c r="H14" i="1" s="1"/>
  <c r="H22" i="18"/>
  <c r="G46" i="1"/>
  <c r="G17" i="1"/>
  <c r="G60" i="1" s="1"/>
  <c r="F17" i="1"/>
  <c r="F60" i="1" s="1"/>
  <c r="F46" i="1"/>
  <c r="I14" i="1" l="1"/>
  <c r="E17" i="1"/>
  <c r="I17" i="1" s="1"/>
  <c r="I60" i="1" s="1"/>
  <c r="E46" i="1"/>
  <c r="I46" i="1"/>
  <c r="H46" i="1"/>
  <c r="E60" i="1" l="1"/>
  <c r="H17" i="1"/>
  <c r="H60" i="1" s="1"/>
  <c r="B60" i="1" l="1" a="1"/>
  <c r="B60" i="1" s="1"/>
  <c r="D11" i="11"/>
  <c r="D8" i="11"/>
  <c r="D22" i="11"/>
  <c r="D19" i="11"/>
  <c r="D9" i="11"/>
  <c r="D12" i="11"/>
  <c r="D23" i="11"/>
  <c r="B159" i="34" l="1"/>
  <c r="B163" i="34"/>
  <c r="B157" i="34"/>
  <c r="B158" i="34"/>
  <c r="C26" i="11"/>
  <c r="C6" i="11"/>
  <c r="D15" i="11"/>
  <c r="D24" i="11"/>
  <c r="D16" i="11"/>
  <c r="D10" i="11"/>
  <c r="B13" i="11"/>
  <c r="D14" i="11"/>
  <c r="B6" i="11"/>
  <c r="D6" i="11" s="1"/>
  <c r="D7" i="11"/>
  <c r="B26" i="11"/>
  <c r="D26" i="11" s="1"/>
  <c r="H456" i="6"/>
  <c r="I456" i="6"/>
  <c r="C13" i="11"/>
  <c r="H457" i="6"/>
  <c r="I457" i="6"/>
  <c r="C158" i="34"/>
  <c r="C159" i="34"/>
  <c r="C157" i="34"/>
  <c r="C163" i="34"/>
  <c r="C17" i="11"/>
  <c r="D20" i="11"/>
  <c r="B17" i="11"/>
  <c r="D18" i="11"/>
  <c r="D25" i="11"/>
  <c r="D21" i="11"/>
  <c r="D17" i="11" l="1"/>
  <c r="D13" i="11"/>
  <c r="AE22" i="13" l="1"/>
  <c r="AE29" i="13" l="1"/>
  <c r="AE39" i="13" s="1"/>
  <c r="AO30" i="13"/>
  <c r="AN30" i="13"/>
  <c r="AJ29" i="13"/>
  <c r="Y31" i="13"/>
  <c r="X31" i="13"/>
  <c r="AO26" i="13"/>
  <c r="AN26" i="13"/>
  <c r="AO28" i="13"/>
  <c r="AN28" i="13"/>
  <c r="AW24" i="13"/>
  <c r="AV24" i="13"/>
  <c r="Y34" i="13"/>
  <c r="X34" i="13"/>
  <c r="AD29" i="13"/>
  <c r="BM26" i="13"/>
  <c r="BL26" i="13"/>
  <c r="BL30" i="13"/>
  <c r="BM30" i="13"/>
  <c r="AV25" i="13"/>
  <c r="AW25" i="13"/>
  <c r="BK22" i="13"/>
  <c r="AW36" i="13"/>
  <c r="AV36" i="13"/>
  <c r="AW26" i="13"/>
  <c r="AV26" i="13"/>
  <c r="AW34" i="13"/>
  <c r="AV34" i="13"/>
  <c r="AF36" i="13"/>
  <c r="AG36" i="13"/>
  <c r="X35" i="13"/>
  <c r="Y35" i="13"/>
  <c r="AL29" i="13"/>
  <c r="BE38" i="13"/>
  <c r="BD38" i="13"/>
  <c r="AF30" i="13"/>
  <c r="AG30" i="13"/>
  <c r="AB29" i="13"/>
  <c r="AS22" i="13"/>
  <c r="V29" i="13"/>
  <c r="AK29" i="13"/>
  <c r="AN36" i="13"/>
  <c r="AO36" i="13"/>
  <c r="AM22" i="13"/>
  <c r="AV32" i="13"/>
  <c r="AW32" i="13"/>
  <c r="AO25" i="13"/>
  <c r="AN25" i="13"/>
  <c r="AN38" i="13"/>
  <c r="AO38" i="13"/>
  <c r="BL24" i="13"/>
  <c r="BM24" i="13"/>
  <c r="AC29" i="13"/>
  <c r="BM25" i="13"/>
  <c r="BL25" i="13"/>
  <c r="AF35" i="13"/>
  <c r="AG35" i="13"/>
  <c r="Y28" i="13"/>
  <c r="X28" i="13"/>
  <c r="AG33" i="13"/>
  <c r="AF33" i="13"/>
  <c r="AO24" i="13"/>
  <c r="AN24" i="13"/>
  <c r="AW28" i="13"/>
  <c r="AV28" i="13"/>
  <c r="BE28" i="13"/>
  <c r="BD28" i="13"/>
  <c r="T29" i="13"/>
  <c r="Y30" i="13"/>
  <c r="X30" i="13"/>
  <c r="Y23" i="13"/>
  <c r="X23" i="13"/>
  <c r="T22" i="13"/>
  <c r="AG24" i="13"/>
  <c r="AF24" i="13"/>
  <c r="AV27" i="13"/>
  <c r="AW27" i="13"/>
  <c r="AT22" i="13"/>
  <c r="AN32" i="13"/>
  <c r="AO32" i="13"/>
  <c r="AV33" i="13"/>
  <c r="AW33" i="13"/>
  <c r="AV31" i="13"/>
  <c r="AW31" i="13"/>
  <c r="AM29" i="13"/>
  <c r="AF38" i="13"/>
  <c r="AG38" i="13"/>
  <c r="AF34" i="13"/>
  <c r="AG34" i="13"/>
  <c r="BD25" i="13"/>
  <c r="BE25" i="13"/>
  <c r="Y36" i="13"/>
  <c r="X36" i="13"/>
  <c r="Y32" i="13"/>
  <c r="X32" i="13"/>
  <c r="AV35" i="13"/>
  <c r="AW35" i="13"/>
  <c r="AO34" i="13"/>
  <c r="AN34" i="13"/>
  <c r="BE24" i="13"/>
  <c r="BD24" i="13"/>
  <c r="AN31" i="13"/>
  <c r="AO31" i="13"/>
  <c r="BM27" i="13"/>
  <c r="BL27" i="13"/>
  <c r="BM36" i="13"/>
  <c r="BL36" i="13"/>
  <c r="BL28" i="13"/>
  <c r="BM28" i="13"/>
  <c r="Y24" i="13"/>
  <c r="X24" i="13"/>
  <c r="BJ22" i="13"/>
  <c r="BJ39" i="13" s="1"/>
  <c r="AL22" i="13"/>
  <c r="BM34" i="13"/>
  <c r="BL34" i="13"/>
  <c r="W29" i="13"/>
  <c r="AF25" i="13"/>
  <c r="AG25" i="13"/>
  <c r="AF26" i="13"/>
  <c r="AG26" i="13"/>
  <c r="AZ22" i="13"/>
  <c r="BE23" i="13"/>
  <c r="BD23" i="13"/>
  <c r="AR22" i="13"/>
  <c r="AV23" i="13"/>
  <c r="AW23" i="13"/>
  <c r="BL32" i="13"/>
  <c r="BM32" i="13"/>
  <c r="AG28" i="13"/>
  <c r="AF28" i="13"/>
  <c r="BE36" i="13"/>
  <c r="BD36" i="13"/>
  <c r="BD27" i="13"/>
  <c r="BE27" i="13"/>
  <c r="BB22" i="13"/>
  <c r="V22" i="13"/>
  <c r="W22" i="13"/>
  <c r="AD22" i="13"/>
  <c r="AW30" i="13"/>
  <c r="AV30" i="13"/>
  <c r="BL33" i="13"/>
  <c r="BM33" i="13"/>
  <c r="AN35" i="13"/>
  <c r="AO35" i="13"/>
  <c r="Y38" i="13"/>
  <c r="X38" i="13"/>
  <c r="U29" i="13"/>
  <c r="BC22" i="13"/>
  <c r="AB22" i="13"/>
  <c r="AG23" i="13"/>
  <c r="AF23" i="13"/>
  <c r="AU22" i="13"/>
  <c r="AU39" i="13" s="1"/>
  <c r="BA22" i="13"/>
  <c r="AF32" i="13"/>
  <c r="AG32" i="13"/>
  <c r="AN27" i="13"/>
  <c r="AO27" i="13"/>
  <c r="Y27" i="13"/>
  <c r="X27" i="13"/>
  <c r="AO33" i="13"/>
  <c r="AN33" i="13"/>
  <c r="BL23" i="13"/>
  <c r="BM23" i="13"/>
  <c r="BH22" i="13"/>
  <c r="AJ22" i="13"/>
  <c r="AO23" i="13"/>
  <c r="AN23" i="13"/>
  <c r="X25" i="13"/>
  <c r="Y25" i="13"/>
  <c r="AC22" i="13"/>
  <c r="AW38" i="13"/>
  <c r="AV38" i="13"/>
  <c r="BL38" i="13"/>
  <c r="BM38" i="13"/>
  <c r="BD26" i="13"/>
  <c r="BE26" i="13"/>
  <c r="BM31" i="13"/>
  <c r="BL31" i="13"/>
  <c r="BM35" i="13"/>
  <c r="BL35" i="13"/>
  <c r="Y26" i="13"/>
  <c r="X26" i="13"/>
  <c r="X33" i="13"/>
  <c r="Y33" i="13"/>
  <c r="U22" i="13"/>
  <c r="BI22" i="13"/>
  <c r="BI39" i="13" s="1"/>
  <c r="AF27" i="13"/>
  <c r="AG27" i="13"/>
  <c r="AG31" i="13"/>
  <c r="AF31" i="13"/>
  <c r="AK22" i="13"/>
  <c r="W39" i="13" l="1"/>
  <c r="AL39" i="13"/>
  <c r="AC39" i="13"/>
  <c r="BA39" i="13"/>
  <c r="AT39" i="13"/>
  <c r="BC39" i="13"/>
  <c r="V39" i="13"/>
  <c r="AK39" i="13"/>
  <c r="U39" i="13"/>
  <c r="AS39" i="13"/>
  <c r="AD39" i="13"/>
  <c r="AM39" i="13"/>
  <c r="BD29" i="13"/>
  <c r="BE29" i="13"/>
  <c r="AW22" i="13"/>
  <c r="AV22" i="13"/>
  <c r="AR39" i="13"/>
  <c r="Y22" i="13"/>
  <c r="X22" i="13"/>
  <c r="T39" i="13"/>
  <c r="AO22" i="13"/>
  <c r="AJ39" i="13"/>
  <c r="AN22" i="13"/>
  <c r="X29" i="13"/>
  <c r="Y29" i="13"/>
  <c r="AW29" i="13"/>
  <c r="AV29" i="13"/>
  <c r="BD22" i="13"/>
  <c r="BE22" i="13"/>
  <c r="AZ39" i="13"/>
  <c r="BB39" i="13"/>
  <c r="BL22" i="13"/>
  <c r="BH39" i="13"/>
  <c r="BM22" i="13"/>
  <c r="AF29" i="13"/>
  <c r="AG29" i="13"/>
  <c r="AO29" i="13"/>
  <c r="AN29" i="13"/>
  <c r="AB39" i="13"/>
  <c r="AG22" i="13"/>
  <c r="AF22" i="13"/>
  <c r="BK39" i="13"/>
  <c r="BL29" i="13"/>
  <c r="BM29" i="13"/>
  <c r="AV39" i="13" l="1"/>
  <c r="AW39" i="13"/>
  <c r="AO39" i="13"/>
  <c r="AN39" i="13"/>
  <c r="AG39" i="13"/>
  <c r="AF39" i="13"/>
  <c r="BD39" i="13"/>
  <c r="BE39" i="13"/>
  <c r="BM39" i="13"/>
  <c r="BL39" i="13"/>
  <c r="Y39" i="13"/>
  <c r="X39" i="13"/>
  <c r="G37" i="13" l="1"/>
  <c r="G38" i="13"/>
  <c r="F37" i="13"/>
  <c r="F38" i="13"/>
  <c r="E37" i="13"/>
  <c r="E38" i="13"/>
  <c r="G35" i="13"/>
  <c r="G36" i="13"/>
  <c r="F36" i="13"/>
  <c r="F35" i="13"/>
  <c r="E36" i="13"/>
  <c r="E35" i="13"/>
  <c r="D37" i="13"/>
  <c r="G34" i="13"/>
  <c r="G33" i="13"/>
  <c r="F34" i="13"/>
  <c r="F33" i="13"/>
  <c r="E34" i="13"/>
  <c r="E33" i="13"/>
  <c r="G32" i="13"/>
  <c r="G31" i="13"/>
  <c r="F32" i="13"/>
  <c r="F31" i="13"/>
  <c r="E32" i="13"/>
  <c r="E31" i="13"/>
  <c r="G28" i="13"/>
  <c r="F28" i="13"/>
  <c r="E28" i="13"/>
  <c r="G27" i="13"/>
  <c r="G26" i="13"/>
  <c r="F27" i="13"/>
  <c r="F26" i="13"/>
  <c r="E27" i="13"/>
  <c r="E26" i="13"/>
  <c r="G25" i="13"/>
  <c r="G24" i="13"/>
  <c r="F25" i="13"/>
  <c r="F24" i="13"/>
  <c r="E25" i="13"/>
  <c r="E24" i="13"/>
  <c r="Q32" i="13" l="1"/>
  <c r="D32" i="13"/>
  <c r="P32" i="13"/>
  <c r="Q31" i="13"/>
  <c r="D31" i="13"/>
  <c r="P31" i="13"/>
  <c r="P33" i="13"/>
  <c r="Q33" i="13"/>
  <c r="D33" i="13"/>
  <c r="Q34" i="13"/>
  <c r="P34" i="13"/>
  <c r="D34" i="13"/>
  <c r="E30" i="13"/>
  <c r="E29" i="13" s="1"/>
  <c r="M29" i="13"/>
  <c r="F30" i="13"/>
  <c r="F29" i="13" s="1"/>
  <c r="N29" i="13"/>
  <c r="G30" i="13"/>
  <c r="G29" i="13" s="1"/>
  <c r="O29" i="13"/>
  <c r="P35" i="13"/>
  <c r="Q35" i="13"/>
  <c r="D35" i="13"/>
  <c r="Q28" i="13"/>
  <c r="D28" i="13"/>
  <c r="P28" i="13"/>
  <c r="P36" i="13"/>
  <c r="Q36" i="13"/>
  <c r="D36" i="13"/>
  <c r="D25" i="13"/>
  <c r="Q25" i="13"/>
  <c r="P25" i="13"/>
  <c r="D38" i="13"/>
  <c r="P38" i="13"/>
  <c r="Q38" i="13"/>
  <c r="P30" i="13"/>
  <c r="L29" i="13"/>
  <c r="D30" i="13"/>
  <c r="Q30" i="13"/>
  <c r="P27" i="13"/>
  <c r="Q27" i="13"/>
  <c r="D27" i="13"/>
  <c r="M22" i="13"/>
  <c r="E23" i="13"/>
  <c r="E22" i="13" s="1"/>
  <c r="L22" i="13"/>
  <c r="D23" i="13"/>
  <c r="P23" i="13"/>
  <c r="Q23" i="13"/>
  <c r="N22" i="13"/>
  <c r="F23" i="13"/>
  <c r="F22" i="13" s="1"/>
  <c r="P26" i="13"/>
  <c r="Q26" i="13"/>
  <c r="D26" i="13"/>
  <c r="O22" i="13"/>
  <c r="O39" i="13" s="1"/>
  <c r="G23" i="13"/>
  <c r="G22" i="13" s="1"/>
  <c r="G37" i="1" s="1"/>
  <c r="P24" i="13"/>
  <c r="Q24" i="13"/>
  <c r="D24" i="13"/>
  <c r="M39" i="13" l="1"/>
  <c r="N39" i="13"/>
  <c r="I24" i="13"/>
  <c r="H24" i="13"/>
  <c r="G39" i="13"/>
  <c r="H26" i="13"/>
  <c r="I26" i="13"/>
  <c r="F37" i="1"/>
  <c r="F39" i="13"/>
  <c r="H23" i="13"/>
  <c r="D22" i="13"/>
  <c r="I23" i="13"/>
  <c r="P22" i="13"/>
  <c r="L39" i="13"/>
  <c r="Q22" i="13"/>
  <c r="E39" i="13"/>
  <c r="E37" i="1"/>
  <c r="I27" i="13"/>
  <c r="H27" i="13"/>
  <c r="I30" i="13"/>
  <c r="H30" i="13"/>
  <c r="D29" i="13"/>
  <c r="Q29" i="13"/>
  <c r="P29" i="13"/>
  <c r="I38" i="13"/>
  <c r="H38" i="13"/>
  <c r="H25" i="13"/>
  <c r="I25" i="13"/>
  <c r="I36" i="13"/>
  <c r="H36" i="13"/>
  <c r="H28" i="13"/>
  <c r="I28" i="13"/>
  <c r="I35" i="13"/>
  <c r="H35" i="13"/>
  <c r="G38" i="1"/>
  <c r="F38" i="1"/>
  <c r="E38" i="1"/>
  <c r="I34" i="13"/>
  <c r="H34" i="13"/>
  <c r="I33" i="13"/>
  <c r="H33" i="13"/>
  <c r="H31" i="13"/>
  <c r="I31" i="13"/>
  <c r="I32" i="13"/>
  <c r="H32" i="13"/>
  <c r="E36" i="1" l="1"/>
  <c r="F36" i="1"/>
  <c r="G36" i="1"/>
  <c r="I29" i="13"/>
  <c r="D38" i="1"/>
  <c r="H29" i="13"/>
  <c r="E15" i="19"/>
  <c r="P39" i="13"/>
  <c r="Q39" i="13"/>
  <c r="I22" i="13"/>
  <c r="D37" i="1"/>
  <c r="H22" i="13"/>
  <c r="D39" i="13"/>
  <c r="H39" i="13" s="1"/>
  <c r="F15" i="19"/>
  <c r="G15" i="19"/>
  <c r="E63" i="1" l="1"/>
  <c r="F63" i="1"/>
  <c r="G63" i="1"/>
  <c r="I39" i="13"/>
  <c r="D15" i="19"/>
  <c r="I37" i="1"/>
  <c r="H37" i="1"/>
  <c r="D36" i="1"/>
  <c r="H36" i="1" s="1"/>
  <c r="H38" i="1"/>
  <c r="I38" i="1"/>
  <c r="D63" i="1" l="1"/>
  <c r="H63" i="1"/>
  <c r="I36" i="1"/>
  <c r="I63" i="1" s="1"/>
  <c r="H15" i="19"/>
  <c r="I15" i="19"/>
  <c r="B63" i="1" l="1" a="1"/>
  <c r="B63" i="1" s="1"/>
  <c r="E11" i="13" l="1"/>
  <c r="E13" i="13"/>
  <c r="BE7" i="13" l="1"/>
  <c r="BD7" i="13"/>
  <c r="P7" i="13"/>
  <c r="Q7" i="13"/>
  <c r="H108" i="10"/>
  <c r="I108" i="10"/>
  <c r="AF11" i="13"/>
  <c r="D11" i="13"/>
  <c r="AG11" i="13"/>
  <c r="AV14" i="13"/>
  <c r="AW14" i="13"/>
  <c r="BL14" i="13"/>
  <c r="BM14" i="13"/>
  <c r="Y16" i="13"/>
  <c r="X16" i="13"/>
  <c r="E16" i="13"/>
  <c r="AO12" i="13"/>
  <c r="AN12" i="13"/>
  <c r="AG14" i="13"/>
  <c r="AF14" i="13"/>
  <c r="BM11" i="13"/>
  <c r="BL11" i="13"/>
  <c r="F12" i="13"/>
  <c r="F16" i="13"/>
  <c r="BM16" i="13"/>
  <c r="BL16" i="13"/>
  <c r="D14" i="13"/>
  <c r="Q14" i="13"/>
  <c r="P14" i="13"/>
  <c r="Q16" i="13"/>
  <c r="P16" i="13"/>
  <c r="D16" i="13"/>
  <c r="X15" i="13"/>
  <c r="Y15" i="13"/>
  <c r="AN11" i="13"/>
  <c r="AO11" i="13"/>
  <c r="E12" i="13"/>
  <c r="G16" i="13"/>
  <c r="F14" i="13"/>
  <c r="G11" i="13"/>
  <c r="BL15" i="13"/>
  <c r="BM15" i="13"/>
  <c r="AF13" i="13"/>
  <c r="AG13" i="13"/>
  <c r="D13" i="13"/>
  <c r="AO15" i="13"/>
  <c r="AN15" i="13"/>
  <c r="F11" i="13"/>
  <c r="AW12" i="13"/>
  <c r="AV12" i="13"/>
  <c r="E14" i="13"/>
  <c r="BD15" i="13"/>
  <c r="BE15" i="13"/>
  <c r="AO14" i="13"/>
  <c r="AN14" i="13"/>
  <c r="AG12" i="13"/>
  <c r="AF12" i="13"/>
  <c r="F13" i="13"/>
  <c r="Q15" i="13"/>
  <c r="P15" i="13"/>
  <c r="D15" i="13"/>
  <c r="AW11" i="13"/>
  <c r="AV11" i="13"/>
  <c r="E15" i="13"/>
  <c r="AO16" i="13"/>
  <c r="AN16" i="13"/>
  <c r="AV16" i="13"/>
  <c r="AW16" i="13"/>
  <c r="BL12" i="13"/>
  <c r="BM12" i="13"/>
  <c r="AN13" i="13"/>
  <c r="AO13" i="13"/>
  <c r="G14" i="13"/>
  <c r="AF15" i="13"/>
  <c r="AG15" i="13"/>
  <c r="BE16" i="13"/>
  <c r="BD16" i="13"/>
  <c r="AW13" i="13"/>
  <c r="AV13" i="13"/>
  <c r="G13" i="13"/>
  <c r="BD8" i="13"/>
  <c r="BE8" i="13"/>
  <c r="AF16" i="13"/>
  <c r="AG16" i="13"/>
  <c r="AV15" i="13"/>
  <c r="AW15" i="13"/>
  <c r="Y12" i="13"/>
  <c r="X12" i="13"/>
  <c r="D12" i="13"/>
  <c r="F15" i="13"/>
  <c r="X8" i="13"/>
  <c r="BL13" i="13"/>
  <c r="BM13" i="13"/>
  <c r="G12" i="13"/>
  <c r="G15" i="13"/>
  <c r="E8" i="13" l="1"/>
  <c r="G7" i="13"/>
  <c r="F57" i="1" s="1"/>
  <c r="AG8" i="13"/>
  <c r="BM7" i="13"/>
  <c r="E7" i="13"/>
  <c r="E54" i="1" s="1"/>
  <c r="BL7" i="13"/>
  <c r="G8" i="13"/>
  <c r="AF8" i="13"/>
  <c r="AO7" i="13"/>
  <c r="AN8" i="13"/>
  <c r="F7" i="13"/>
  <c r="AN7" i="13"/>
  <c r="AO8" i="13"/>
  <c r="D7" i="13"/>
  <c r="F8" i="13"/>
  <c r="AW7" i="13"/>
  <c r="AV7" i="13"/>
  <c r="Q8" i="13"/>
  <c r="I13" i="13"/>
  <c r="B27" i="13" s="1"/>
  <c r="H13" i="13"/>
  <c r="I14" i="13"/>
  <c r="H14" i="13"/>
  <c r="BM8" i="13"/>
  <c r="BL8" i="13"/>
  <c r="D8" i="13"/>
  <c r="AW8" i="13"/>
  <c r="AV8" i="13"/>
  <c r="H12" i="13"/>
  <c r="I12" i="13"/>
  <c r="X7" i="13"/>
  <c r="Y7" i="13"/>
  <c r="I16" i="13"/>
  <c r="H16" i="13"/>
  <c r="Y8" i="13"/>
  <c r="H11" i="13"/>
  <c r="I11" i="13"/>
  <c r="B26" i="13" s="1"/>
  <c r="I15" i="13"/>
  <c r="B28" i="13" s="1"/>
  <c r="H15" i="13"/>
  <c r="AG7" i="13"/>
  <c r="AF7" i="13"/>
  <c r="P8" i="13"/>
  <c r="F54" i="1" l="1"/>
  <c r="E57" i="1"/>
  <c r="H7" i="13"/>
  <c r="G54" i="1" s="1"/>
  <c r="I7" i="13"/>
  <c r="B23" i="13" s="1"/>
  <c r="D57" i="1"/>
  <c r="D54" i="1"/>
  <c r="H8" i="13"/>
  <c r="I8" i="13"/>
  <c r="B25" i="13" l="1"/>
  <c r="B24" i="13"/>
  <c r="I54" i="1"/>
  <c r="G57" i="1"/>
  <c r="I57" i="1" s="1"/>
  <c r="H54" i="1"/>
  <c r="H57" i="1" l="1"/>
  <c r="G66" i="10" l="1"/>
  <c r="D70" i="10"/>
  <c r="E143" i="34"/>
  <c r="E72" i="10"/>
  <c r="F64" i="10"/>
  <c r="D63" i="10"/>
  <c r="D61" i="10"/>
  <c r="G60" i="10"/>
  <c r="D66" i="10"/>
  <c r="E66" i="10"/>
  <c r="G61" i="10"/>
  <c r="F73" i="10"/>
  <c r="E58" i="10"/>
  <c r="F39" i="19"/>
  <c r="D69" i="10"/>
  <c r="G67" i="10"/>
  <c r="D72" i="10"/>
  <c r="F57" i="10"/>
  <c r="E51" i="10"/>
  <c r="F62" i="10"/>
  <c r="G54" i="10"/>
  <c r="F69" i="10"/>
  <c r="F51" i="10"/>
  <c r="F61" i="10"/>
  <c r="G73" i="10"/>
  <c r="E74" i="10"/>
  <c r="E59" i="10"/>
  <c r="E63" i="10"/>
  <c r="G74" i="10"/>
  <c r="G55" i="10"/>
  <c r="E52" i="10"/>
  <c r="F59" i="10"/>
  <c r="G62" i="10"/>
  <c r="G39" i="10"/>
  <c r="E62" i="10"/>
  <c r="E55" i="10"/>
  <c r="E60" i="10"/>
  <c r="D67" i="10"/>
  <c r="G63" i="10"/>
  <c r="F40" i="10"/>
  <c r="G58" i="10"/>
  <c r="D60" i="10"/>
  <c r="F68" i="10"/>
  <c r="E40" i="10"/>
  <c r="F143" i="34"/>
  <c r="E71" i="10"/>
  <c r="E73" i="10"/>
  <c r="F70" i="10"/>
  <c r="F52" i="10"/>
  <c r="F75" i="11"/>
  <c r="F38" i="10" s="1"/>
  <c r="G53" i="10"/>
  <c r="E65" i="10"/>
  <c r="F55" i="10"/>
  <c r="E14" i="32"/>
  <c r="F67" i="10"/>
  <c r="G59" i="10"/>
  <c r="D74" i="10"/>
  <c r="G52" i="10"/>
  <c r="E56" i="10"/>
  <c r="E68" i="10"/>
  <c r="F72" i="10"/>
  <c r="E67" i="10"/>
  <c r="G71" i="10"/>
  <c r="F58" i="10"/>
  <c r="G82" i="6"/>
  <c r="G57" i="10"/>
  <c r="G51" i="10"/>
  <c r="F37" i="11"/>
  <c r="F252" i="6"/>
  <c r="E144" i="6"/>
  <c r="E25" i="9"/>
  <c r="G121" i="6"/>
  <c r="F53" i="10"/>
  <c r="G65" i="10"/>
  <c r="G39" i="19"/>
  <c r="D65" i="10"/>
  <c r="D71" i="10"/>
  <c r="D62" i="10"/>
  <c r="E61" i="10"/>
  <c r="F293" i="6"/>
  <c r="E69" i="10"/>
  <c r="G226" i="6"/>
  <c r="G159" i="6"/>
  <c r="G30" i="11"/>
  <c r="F39" i="10"/>
  <c r="G68" i="10"/>
  <c r="F63" i="10"/>
  <c r="E64" i="10"/>
  <c r="G304" i="6"/>
  <c r="F25" i="9"/>
  <c r="G381" i="6"/>
  <c r="F54" i="10"/>
  <c r="E39" i="19"/>
  <c r="G14" i="32"/>
  <c r="E70" i="10"/>
  <c r="F65" i="10"/>
  <c r="F82" i="6"/>
  <c r="G143" i="34"/>
  <c r="E57" i="10"/>
  <c r="G97" i="6"/>
  <c r="F268" i="6"/>
  <c r="G69" i="10"/>
  <c r="G386" i="6"/>
  <c r="G278" i="6"/>
  <c r="G111" i="6"/>
  <c r="F56" i="10"/>
  <c r="F60" i="10"/>
  <c r="F74" i="10"/>
  <c r="F66" i="10"/>
  <c r="G247" i="6"/>
  <c r="D73" i="10"/>
  <c r="G200" i="6"/>
  <c r="F56" i="6"/>
  <c r="F23" i="32"/>
  <c r="G25" i="9"/>
  <c r="E53" i="10"/>
  <c r="E190" i="6"/>
  <c r="E54" i="10"/>
  <c r="E381" i="6"/>
  <c r="E355" i="6"/>
  <c r="F283" i="6"/>
  <c r="G20" i="6"/>
  <c r="F319" i="6"/>
  <c r="F71" i="10"/>
  <c r="F304" i="6"/>
  <c r="F35" i="6"/>
  <c r="F14" i="32"/>
  <c r="E23" i="32"/>
  <c r="E407" i="6"/>
  <c r="E386" i="6"/>
  <c r="F206" i="6"/>
  <c r="G70" i="10"/>
  <c r="D68" i="10"/>
  <c r="E371" i="6"/>
  <c r="E185" i="6"/>
  <c r="F106" i="6"/>
  <c r="G61" i="6"/>
  <c r="G41" i="11"/>
  <c r="E180" i="6"/>
  <c r="F360" i="6"/>
  <c r="E324" i="6"/>
  <c r="F154" i="6"/>
  <c r="F111" i="6"/>
  <c r="E314" i="6"/>
  <c r="E221" i="6"/>
  <c r="E237" i="6"/>
  <c r="G30" i="6"/>
  <c r="G180" i="6"/>
  <c r="E366" i="6"/>
  <c r="E41" i="11"/>
  <c r="E97" i="6"/>
  <c r="E200" i="6"/>
  <c r="G64" i="10"/>
  <c r="D64" i="10"/>
  <c r="G56" i="10"/>
  <c r="G293" i="6"/>
  <c r="G37" i="11"/>
  <c r="F144" i="6"/>
  <c r="F278" i="6"/>
  <c r="G41" i="6"/>
  <c r="E56" i="6"/>
  <c r="F180" i="6"/>
  <c r="G72" i="10"/>
  <c r="E30" i="11"/>
  <c r="F30" i="11"/>
  <c r="G371" i="6"/>
  <c r="F185" i="6"/>
  <c r="G19" i="34"/>
  <c r="G18" i="34" s="1"/>
  <c r="F28" i="34"/>
  <c r="F27" i="34" s="1"/>
  <c r="E39" i="10"/>
  <c r="E226" i="6"/>
  <c r="E77" i="6"/>
  <c r="F175" i="6"/>
  <c r="H239" i="6" l="1"/>
  <c r="I239" i="6"/>
  <c r="I100" i="6"/>
  <c r="H100" i="6"/>
  <c r="I269" i="6"/>
  <c r="H269" i="6"/>
  <c r="D268" i="6"/>
  <c r="H151" i="6"/>
  <c r="I151" i="6"/>
  <c r="H364" i="6"/>
  <c r="I364" i="6"/>
  <c r="I97" i="10"/>
  <c r="H97" i="10"/>
  <c r="F190" i="6"/>
  <c r="I95" i="6"/>
  <c r="H95" i="6"/>
  <c r="H296" i="6"/>
  <c r="I296" i="6"/>
  <c r="H78" i="6"/>
  <c r="D77" i="6"/>
  <c r="I78" i="6"/>
  <c r="H32" i="6"/>
  <c r="I32" i="6"/>
  <c r="E111" i="6"/>
  <c r="H182" i="6"/>
  <c r="I182" i="6"/>
  <c r="F26" i="5"/>
  <c r="F45" i="5"/>
  <c r="F16" i="27"/>
  <c r="F76" i="10"/>
  <c r="F75" i="10" s="1"/>
  <c r="H389" i="6"/>
  <c r="I389" i="6"/>
  <c r="F407" i="6"/>
  <c r="F221" i="6"/>
  <c r="H192" i="6"/>
  <c r="I192" i="6"/>
  <c r="H378" i="6"/>
  <c r="I378" i="6"/>
  <c r="H291" i="6"/>
  <c r="I291" i="6"/>
  <c r="H94" i="6"/>
  <c r="I94" i="6"/>
  <c r="E10" i="6"/>
  <c r="I24" i="9"/>
  <c r="H24" i="9"/>
  <c r="I400" i="6"/>
  <c r="H400" i="6"/>
  <c r="H14" i="6"/>
  <c r="I14" i="6"/>
  <c r="H424" i="6"/>
  <c r="I424" i="6"/>
  <c r="H34" i="6"/>
  <c r="I34" i="6"/>
  <c r="G86" i="10"/>
  <c r="F126" i="6"/>
  <c r="G66" i="6"/>
  <c r="H53" i="6"/>
  <c r="I53" i="6"/>
  <c r="H204" i="6"/>
  <c r="I204" i="6"/>
  <c r="H390" i="6"/>
  <c r="I390" i="6"/>
  <c r="I35" i="34"/>
  <c r="H35" i="34"/>
  <c r="G314" i="6"/>
  <c r="H59" i="6"/>
  <c r="I59" i="6"/>
  <c r="H322" i="6"/>
  <c r="I322" i="6"/>
  <c r="H33" i="19"/>
  <c r="I33" i="19"/>
  <c r="E268" i="6"/>
  <c r="H160" i="6"/>
  <c r="D159" i="6"/>
  <c r="I160" i="6"/>
  <c r="D262" i="6"/>
  <c r="H263" i="6"/>
  <c r="I263" i="6"/>
  <c r="H161" i="6"/>
  <c r="I161" i="6"/>
  <c r="E19" i="34"/>
  <c r="E18" i="34" s="1"/>
  <c r="G77" i="6"/>
  <c r="H88" i="6"/>
  <c r="I88" i="6"/>
  <c r="D87" i="6"/>
  <c r="D53" i="10"/>
  <c r="I38" i="26"/>
  <c r="H38" i="26"/>
  <c r="H383" i="6"/>
  <c r="I383" i="6"/>
  <c r="H285" i="6"/>
  <c r="I285" i="6"/>
  <c r="H343" i="6"/>
  <c r="I343" i="6"/>
  <c r="G185" i="6"/>
  <c r="I214" i="6"/>
  <c r="H214" i="6"/>
  <c r="F288" i="6"/>
  <c r="E288" i="6"/>
  <c r="E82" i="6"/>
  <c r="H27" i="19"/>
  <c r="I27" i="19"/>
  <c r="I199" i="6"/>
  <c r="H199" i="6"/>
  <c r="I374" i="6"/>
  <c r="H374" i="6"/>
  <c r="H102" i="10"/>
  <c r="I102" i="10"/>
  <c r="H40" i="11"/>
  <c r="I40" i="11"/>
  <c r="H393" i="6"/>
  <c r="I393" i="6"/>
  <c r="I362" i="6"/>
  <c r="H362" i="6"/>
  <c r="G335" i="6"/>
  <c r="F381" i="6"/>
  <c r="H301" i="6"/>
  <c r="I301" i="6"/>
  <c r="H130" i="6"/>
  <c r="I130" i="6"/>
  <c r="H358" i="6"/>
  <c r="I358" i="6"/>
  <c r="I181" i="6"/>
  <c r="D180" i="6"/>
  <c r="H181" i="6"/>
  <c r="F386" i="6"/>
  <c r="I279" i="6"/>
  <c r="H279" i="6"/>
  <c r="D278" i="6"/>
  <c r="D25" i="6"/>
  <c r="H26" i="6"/>
  <c r="I26" i="6"/>
  <c r="H189" i="6"/>
  <c r="I189" i="6"/>
  <c r="H318" i="6"/>
  <c r="I318" i="6"/>
  <c r="F257" i="6"/>
  <c r="F200" i="6"/>
  <c r="H404" i="6"/>
  <c r="I404" i="6"/>
  <c r="H290" i="6"/>
  <c r="I290" i="6"/>
  <c r="F371" i="6"/>
  <c r="I261" i="6"/>
  <c r="H261" i="6"/>
  <c r="H311" i="6"/>
  <c r="I311" i="6"/>
  <c r="I177" i="6"/>
  <c r="H177" i="6"/>
  <c r="G237" i="6"/>
  <c r="I48" i="6"/>
  <c r="H48" i="6"/>
  <c r="I158" i="6"/>
  <c r="H158" i="6"/>
  <c r="I215" i="6"/>
  <c r="H215" i="6"/>
  <c r="I418" i="6"/>
  <c r="D417" i="6"/>
  <c r="H418" i="6"/>
  <c r="I64" i="10"/>
  <c r="H64" i="10"/>
  <c r="I388" i="6"/>
  <c r="H388" i="6"/>
  <c r="F61" i="6"/>
  <c r="I410" i="6"/>
  <c r="H410" i="6"/>
  <c r="H162" i="6"/>
  <c r="I162" i="6"/>
  <c r="I22" i="32"/>
  <c r="H22" i="32"/>
  <c r="F5" i="10"/>
  <c r="E211" i="6"/>
  <c r="H156" i="6"/>
  <c r="I156" i="6"/>
  <c r="I68" i="6"/>
  <c r="H68" i="6"/>
  <c r="H20" i="32"/>
  <c r="I20" i="32"/>
  <c r="D23" i="32"/>
  <c r="H62" i="6"/>
  <c r="I62" i="6"/>
  <c r="D61" i="6"/>
  <c r="I114" i="6"/>
  <c r="H114" i="6"/>
  <c r="H89" i="6"/>
  <c r="I89" i="6"/>
  <c r="H110" i="6"/>
  <c r="I110" i="6"/>
  <c r="E46" i="6"/>
  <c r="I172" i="6"/>
  <c r="H172" i="6"/>
  <c r="G190" i="6"/>
  <c r="F19" i="34"/>
  <c r="F18" i="34" s="1"/>
  <c r="H361" i="6"/>
  <c r="I361" i="6"/>
  <c r="D360" i="6"/>
  <c r="H352" i="6"/>
  <c r="I352" i="6"/>
  <c r="H187" i="6"/>
  <c r="I187" i="6"/>
  <c r="I168" i="6"/>
  <c r="H168" i="6"/>
  <c r="I212" i="6"/>
  <c r="D211" i="6"/>
  <c r="H212" i="6"/>
  <c r="E402" i="6"/>
  <c r="I99" i="6"/>
  <c r="H99" i="6"/>
  <c r="H70" i="6"/>
  <c r="I70" i="6"/>
  <c r="H306" i="6"/>
  <c r="I306" i="6"/>
  <c r="E422" i="6"/>
  <c r="F118" i="10"/>
  <c r="E412" i="6"/>
  <c r="H193" i="6"/>
  <c r="I193" i="6"/>
  <c r="H127" i="6"/>
  <c r="D126" i="6"/>
  <c r="I127" i="6"/>
  <c r="I312" i="6"/>
  <c r="H312" i="6"/>
  <c r="I338" i="6"/>
  <c r="H338" i="6"/>
  <c r="I19" i="10"/>
  <c r="H19" i="10"/>
  <c r="H96" i="6"/>
  <c r="I96" i="6"/>
  <c r="F86" i="10"/>
  <c r="H115" i="6"/>
  <c r="I115" i="6"/>
  <c r="G24" i="10"/>
  <c r="H110" i="10"/>
  <c r="I110" i="10"/>
  <c r="E299" i="6"/>
  <c r="H289" i="6"/>
  <c r="I289" i="6"/>
  <c r="D288" i="6"/>
  <c r="D340" i="6"/>
  <c r="H341" i="6"/>
  <c r="I341" i="6"/>
  <c r="H107" i="10"/>
  <c r="I107" i="10"/>
  <c r="E10" i="34"/>
  <c r="E9" i="34" s="1"/>
  <c r="H372" i="6"/>
  <c r="D371" i="6"/>
  <c r="I372" i="6"/>
  <c r="F97" i="6"/>
  <c r="F427" i="6"/>
  <c r="F142" i="34"/>
  <c r="F141" i="34" s="1"/>
  <c r="H405" i="6"/>
  <c r="I405" i="6"/>
  <c r="H25" i="19"/>
  <c r="I25" i="19"/>
  <c r="I225" i="6"/>
  <c r="H225" i="6"/>
  <c r="I74" i="6"/>
  <c r="H74" i="6"/>
  <c r="I15" i="10"/>
  <c r="H15" i="10"/>
  <c r="H16" i="19"/>
  <c r="I16" i="19"/>
  <c r="F35" i="19"/>
  <c r="F43" i="10"/>
  <c r="I108" i="6"/>
  <c r="H108" i="6"/>
  <c r="E304" i="6"/>
  <c r="H42" i="11"/>
  <c r="D41" i="11"/>
  <c r="I42" i="11"/>
  <c r="H11" i="10"/>
  <c r="I11" i="10"/>
  <c r="H167" i="6"/>
  <c r="I167" i="6"/>
  <c r="H220" i="6"/>
  <c r="I220" i="6"/>
  <c r="G283" i="6"/>
  <c r="G75" i="11"/>
  <c r="G38" i="10" s="1"/>
  <c r="H13" i="10"/>
  <c r="I13" i="10"/>
  <c r="F50" i="10"/>
  <c r="F49" i="10" s="1"/>
  <c r="F61" i="26"/>
  <c r="F46" i="19" s="1"/>
  <c r="F45" i="19" s="1"/>
  <c r="E20" i="6"/>
  <c r="I32" i="11"/>
  <c r="H32" i="11"/>
  <c r="I15" i="9"/>
  <c r="B15" i="9" s="1"/>
  <c r="H15" i="9"/>
  <c r="F391" i="6"/>
  <c r="E92" i="6"/>
  <c r="I44" i="10"/>
  <c r="H44" i="10"/>
  <c r="D43" i="10"/>
  <c r="F195" i="6"/>
  <c r="E75" i="11"/>
  <c r="E38" i="10" s="1"/>
  <c r="G54" i="19"/>
  <c r="I453" i="6"/>
  <c r="H453" i="6"/>
  <c r="D299" i="6"/>
  <c r="I300" i="6"/>
  <c r="H300" i="6"/>
  <c r="F10" i="6"/>
  <c r="I419" i="6"/>
  <c r="H419" i="6"/>
  <c r="I41" i="19"/>
  <c r="H41" i="19"/>
  <c r="I373" i="6"/>
  <c r="H373" i="6"/>
  <c r="I22" i="10"/>
  <c r="H22" i="10"/>
  <c r="H78" i="11"/>
  <c r="I78" i="11"/>
  <c r="I30" i="10"/>
  <c r="H30" i="10"/>
  <c r="I47" i="11"/>
  <c r="H47" i="11"/>
  <c r="E50" i="10"/>
  <c r="E49" i="10" s="1"/>
  <c r="E61" i="26"/>
  <c r="H171" i="6"/>
  <c r="I171" i="6"/>
  <c r="E169" i="6"/>
  <c r="H33" i="6"/>
  <c r="I33" i="6"/>
  <c r="F20" i="6"/>
  <c r="I10" i="10"/>
  <c r="H10" i="10"/>
  <c r="I70" i="10"/>
  <c r="H70" i="10"/>
  <c r="F324" i="6"/>
  <c r="H359" i="6"/>
  <c r="I359" i="6"/>
  <c r="H32" i="34"/>
  <c r="I32" i="34"/>
  <c r="H241" i="6"/>
  <c r="I241" i="6"/>
  <c r="H14" i="19"/>
  <c r="I14" i="19"/>
  <c r="I57" i="6"/>
  <c r="H57" i="6"/>
  <c r="D56" i="6"/>
  <c r="H228" i="6"/>
  <c r="I228" i="6"/>
  <c r="E28" i="5"/>
  <c r="E27" i="5" s="1"/>
  <c r="E39" i="5"/>
  <c r="H203" i="6"/>
  <c r="I203" i="6"/>
  <c r="H357" i="6"/>
  <c r="I357" i="6"/>
  <c r="I188" i="6"/>
  <c r="H188" i="6"/>
  <c r="H11" i="19"/>
  <c r="I11" i="19"/>
  <c r="E273" i="6"/>
  <c r="F211" i="6"/>
  <c r="H421" i="6"/>
  <c r="I421" i="6"/>
  <c r="D28" i="34"/>
  <c r="H29" i="34"/>
  <c r="I29" i="34"/>
  <c r="H21" i="6"/>
  <c r="I21" i="6"/>
  <c r="D20" i="6"/>
  <c r="H101" i="6"/>
  <c r="I101" i="6"/>
  <c r="H109" i="6"/>
  <c r="I109" i="6"/>
  <c r="H287" i="6"/>
  <c r="I287" i="6"/>
  <c r="G360" i="6"/>
  <c r="H49" i="19"/>
  <c r="I49" i="19"/>
  <c r="I265" i="6"/>
  <c r="H265" i="6"/>
  <c r="I41" i="10"/>
  <c r="H41" i="10"/>
  <c r="D40" i="10"/>
  <c r="D118" i="10"/>
  <c r="I119" i="10"/>
  <c r="H119" i="10"/>
  <c r="I323" i="6"/>
  <c r="H323" i="6"/>
  <c r="I277" i="6"/>
  <c r="H277" i="6"/>
  <c r="I256" i="6"/>
  <c r="H256" i="6"/>
  <c r="E397" i="6"/>
  <c r="I326" i="6"/>
  <c r="H326" i="6"/>
  <c r="H18" i="6"/>
  <c r="I18" i="6"/>
  <c r="G340" i="6"/>
  <c r="F397" i="6"/>
  <c r="I58" i="6"/>
  <c r="H58" i="6"/>
  <c r="H348" i="6"/>
  <c r="I348" i="6"/>
  <c r="I48" i="19"/>
  <c r="H48" i="19"/>
  <c r="E417" i="6"/>
  <c r="H281" i="6"/>
  <c r="I281" i="6"/>
  <c r="F412" i="6"/>
  <c r="I328" i="6"/>
  <c r="H328" i="6"/>
  <c r="H248" i="6"/>
  <c r="D247" i="6"/>
  <c r="I248" i="6"/>
  <c r="F25" i="6"/>
  <c r="I165" i="6"/>
  <c r="H165" i="6"/>
  <c r="D164" i="6"/>
  <c r="D402" i="6"/>
  <c r="I403" i="6"/>
  <c r="H403" i="6"/>
  <c r="G355" i="6"/>
  <c r="I74" i="10"/>
  <c r="H74" i="10"/>
  <c r="I91" i="6"/>
  <c r="H91" i="6"/>
  <c r="I52" i="19"/>
  <c r="H52" i="19"/>
  <c r="D412" i="6"/>
  <c r="I413" i="6"/>
  <c r="H413" i="6"/>
  <c r="H39" i="26"/>
  <c r="D54" i="10"/>
  <c r="I39" i="26"/>
  <c r="H37" i="6"/>
  <c r="I37" i="6"/>
  <c r="G116" i="6"/>
  <c r="I31" i="10"/>
  <c r="H31" i="10"/>
  <c r="G231" i="6"/>
  <c r="H409" i="6"/>
  <c r="I409" i="6"/>
  <c r="I264" i="6"/>
  <c r="H264" i="6"/>
  <c r="I63" i="6"/>
  <c r="H63" i="6"/>
  <c r="G288" i="6"/>
  <c r="H104" i="10"/>
  <c r="I104" i="10"/>
  <c r="I455" i="6"/>
  <c r="H455" i="6"/>
  <c r="E86" i="10"/>
  <c r="I179" i="6"/>
  <c r="H179" i="6"/>
  <c r="G324" i="6"/>
  <c r="E28" i="19"/>
  <c r="E24" i="19" s="1"/>
  <c r="E29" i="1"/>
  <c r="F28" i="19"/>
  <c r="F24" i="19" s="1"/>
  <c r="F29" i="1"/>
  <c r="D19" i="34"/>
  <c r="I20" i="34"/>
  <c r="H20" i="34"/>
  <c r="F149" i="6"/>
  <c r="H129" i="6"/>
  <c r="I129" i="6"/>
  <c r="E16" i="27"/>
  <c r="E76" i="10"/>
  <c r="E75" i="10" s="1"/>
  <c r="H45" i="11"/>
  <c r="I45" i="11"/>
  <c r="E118" i="10"/>
  <c r="H12" i="34"/>
  <c r="I12" i="34"/>
  <c r="E231" i="6"/>
  <c r="H37" i="26"/>
  <c r="I37" i="26"/>
  <c r="D52" i="10"/>
  <c r="H39" i="6"/>
  <c r="I39" i="6"/>
  <c r="I106" i="10"/>
  <c r="H106" i="10"/>
  <c r="D24" i="10"/>
  <c r="I166" i="6"/>
  <c r="H166" i="6"/>
  <c r="I39" i="11"/>
  <c r="H39" i="11"/>
  <c r="I48" i="11"/>
  <c r="H48" i="11"/>
  <c r="H34" i="34"/>
  <c r="I34" i="34"/>
  <c r="I218" i="6"/>
  <c r="H218" i="6"/>
  <c r="H93" i="10"/>
  <c r="I93" i="10"/>
  <c r="H369" i="6"/>
  <c r="I369" i="6"/>
  <c r="H32" i="10"/>
  <c r="I32" i="10"/>
  <c r="I29" i="6"/>
  <c r="H29" i="6"/>
  <c r="G273" i="6"/>
  <c r="F309" i="6"/>
  <c r="I227" i="6"/>
  <c r="H227" i="6"/>
  <c r="D226" i="6"/>
  <c r="G40" i="10"/>
  <c r="E116" i="6"/>
  <c r="H303" i="6"/>
  <c r="I303" i="6"/>
  <c r="I152" i="6"/>
  <c r="H152" i="6"/>
  <c r="H208" i="6"/>
  <c r="I208" i="6"/>
  <c r="I394" i="6"/>
  <c r="H394" i="6"/>
  <c r="F77" i="6"/>
  <c r="H88" i="10"/>
  <c r="I88" i="10"/>
  <c r="H68" i="10"/>
  <c r="I68" i="10"/>
  <c r="I163" i="6"/>
  <c r="H163" i="6"/>
  <c r="D175" i="6"/>
  <c r="I176" i="6"/>
  <c r="H176" i="6"/>
  <c r="H153" i="6"/>
  <c r="I153" i="6"/>
  <c r="G257" i="6"/>
  <c r="I475" i="6"/>
  <c r="H475" i="6"/>
  <c r="D25" i="9"/>
  <c r="I23" i="9"/>
  <c r="H23" i="9"/>
  <c r="I119" i="6"/>
  <c r="H119" i="6"/>
  <c r="G45" i="5"/>
  <c r="G26" i="5"/>
  <c r="I36" i="6"/>
  <c r="D35" i="6"/>
  <c r="H36" i="6"/>
  <c r="H260" i="6"/>
  <c r="I260" i="6"/>
  <c r="D46" i="6"/>
  <c r="I47" i="6"/>
  <c r="H47" i="6"/>
  <c r="I425" i="6"/>
  <c r="H425" i="6"/>
  <c r="I302" i="6"/>
  <c r="H302" i="6"/>
  <c r="I16" i="34"/>
  <c r="H16" i="34"/>
  <c r="G106" i="6"/>
  <c r="H354" i="6"/>
  <c r="I354" i="6"/>
  <c r="H86" i="6"/>
  <c r="I86" i="6"/>
  <c r="I49" i="6"/>
  <c r="H49" i="6"/>
  <c r="I22" i="6"/>
  <c r="H22" i="6"/>
  <c r="H50" i="6"/>
  <c r="I50" i="6"/>
  <c r="I30" i="34"/>
  <c r="H30" i="34"/>
  <c r="G427" i="6"/>
  <c r="G142" i="34"/>
  <c r="G141" i="34" s="1"/>
  <c r="E15" i="6"/>
  <c r="G10" i="6"/>
  <c r="H50" i="19"/>
  <c r="I50" i="19"/>
  <c r="D111" i="6"/>
  <c r="I112" i="6"/>
  <c r="H112" i="6"/>
  <c r="I33" i="34"/>
  <c r="H33" i="34"/>
  <c r="D76" i="10"/>
  <c r="I6" i="27"/>
  <c r="H6" i="27"/>
  <c r="D16" i="27"/>
  <c r="E61" i="6"/>
  <c r="H342" i="6"/>
  <c r="I342" i="6"/>
  <c r="H148" i="6"/>
  <c r="I148" i="6"/>
  <c r="H21" i="32"/>
  <c r="I21" i="32"/>
  <c r="I307" i="6"/>
  <c r="H307" i="6"/>
  <c r="H36" i="11"/>
  <c r="I36" i="11"/>
  <c r="D82" i="6"/>
  <c r="I83" i="6"/>
  <c r="H83" i="6"/>
  <c r="F72" i="6"/>
  <c r="G299" i="6"/>
  <c r="H245" i="6"/>
  <c r="I245" i="6"/>
  <c r="H258" i="6"/>
  <c r="D257" i="6"/>
  <c r="I258" i="6"/>
  <c r="F335" i="6"/>
  <c r="H327" i="6"/>
  <c r="I327" i="6"/>
  <c r="I321" i="6"/>
  <c r="H321" i="6"/>
  <c r="H461" i="6"/>
  <c r="I461" i="6"/>
  <c r="D467" i="6"/>
  <c r="F15" i="6"/>
  <c r="F299" i="6"/>
  <c r="H21" i="34"/>
  <c r="I21" i="34"/>
  <c r="E126" i="6"/>
  <c r="E41" i="6"/>
  <c r="H81" i="6"/>
  <c r="I81" i="6"/>
  <c r="H463" i="6"/>
  <c r="I463" i="6"/>
  <c r="H11" i="34"/>
  <c r="I11" i="34"/>
  <c r="F355" i="6"/>
  <c r="G407" i="6"/>
  <c r="E479" i="6"/>
  <c r="I20" i="10"/>
  <c r="H20" i="10"/>
  <c r="E175" i="6"/>
  <c r="I347" i="6"/>
  <c r="H347" i="6"/>
  <c r="G309" i="6"/>
  <c r="H29" i="10"/>
  <c r="I29" i="10"/>
  <c r="E216" i="6"/>
  <c r="D335" i="6"/>
  <c r="H336" i="6"/>
  <c r="I336" i="6"/>
  <c r="D59" i="10"/>
  <c r="G479" i="6"/>
  <c r="H64" i="6"/>
  <c r="I64" i="6"/>
  <c r="E309" i="6"/>
  <c r="I426" i="6"/>
  <c r="H426" i="6"/>
  <c r="D30" i="6"/>
  <c r="I31" i="6"/>
  <c r="H31" i="6"/>
  <c r="G376" i="6"/>
  <c r="I48" i="10"/>
  <c r="H48" i="10"/>
  <c r="I23" i="19"/>
  <c r="H23" i="19"/>
  <c r="H99" i="10"/>
  <c r="I99" i="10"/>
  <c r="F366" i="6"/>
  <c r="E72" i="6"/>
  <c r="I69" i="10"/>
  <c r="H69" i="10"/>
  <c r="F340" i="6"/>
  <c r="H105" i="10"/>
  <c r="I105" i="10"/>
  <c r="H368" i="6"/>
  <c r="I368" i="6"/>
  <c r="G175" i="6"/>
  <c r="E35" i="6"/>
  <c r="H17" i="9"/>
  <c r="I17" i="9"/>
  <c r="B17" i="9" s="1"/>
  <c r="D51" i="10"/>
  <c r="H36" i="26"/>
  <c r="I36" i="26"/>
  <c r="F169" i="6"/>
  <c r="H40" i="26"/>
  <c r="I40" i="26"/>
  <c r="D55" i="10"/>
  <c r="I63" i="10"/>
  <c r="H63" i="10"/>
  <c r="I42" i="10"/>
  <c r="H42" i="10"/>
  <c r="D39" i="10"/>
  <c r="H79" i="11"/>
  <c r="I79" i="11"/>
  <c r="H280" i="6"/>
  <c r="I280" i="6"/>
  <c r="I9" i="32"/>
  <c r="H9" i="32"/>
  <c r="H234" i="6"/>
  <c r="I234" i="6"/>
  <c r="H15" i="34"/>
  <c r="I15" i="34"/>
  <c r="I316" i="6"/>
  <c r="H316" i="6"/>
  <c r="H382" i="6"/>
  <c r="D381" i="6"/>
  <c r="I382" i="6"/>
  <c r="H77" i="11"/>
  <c r="I77" i="11"/>
  <c r="G319" i="6"/>
  <c r="I317" i="6"/>
  <c r="H317" i="6"/>
  <c r="I240" i="6"/>
  <c r="H240" i="6"/>
  <c r="H274" i="6"/>
  <c r="I274" i="6"/>
  <c r="D273" i="6"/>
  <c r="G467" i="6"/>
  <c r="F39" i="5"/>
  <c r="F28" i="5"/>
  <c r="F27" i="5" s="1"/>
  <c r="I98" i="6"/>
  <c r="D97" i="6"/>
  <c r="H98" i="6"/>
  <c r="F46" i="6"/>
  <c r="H24" i="6"/>
  <c r="I24" i="6"/>
  <c r="I201" i="6"/>
  <c r="D200" i="6"/>
  <c r="H201" i="6"/>
  <c r="G76" i="10"/>
  <c r="G75" i="10" s="1"/>
  <c r="G16" i="27"/>
  <c r="I55" i="6"/>
  <c r="H55" i="6"/>
  <c r="F19" i="9"/>
  <c r="E24" i="10"/>
  <c r="H80" i="6"/>
  <c r="I80" i="6"/>
  <c r="H65" i="6"/>
  <c r="I65" i="6"/>
  <c r="I325" i="6"/>
  <c r="D324" i="6"/>
  <c r="H325" i="6"/>
  <c r="I38" i="11"/>
  <c r="H38" i="11"/>
  <c r="D37" i="11"/>
  <c r="I474" i="6"/>
  <c r="H474" i="6"/>
  <c r="F262" i="6"/>
  <c r="H65" i="10"/>
  <c r="I65" i="10"/>
  <c r="H84" i="6"/>
  <c r="I84" i="6"/>
  <c r="I255" i="6"/>
  <c r="H255" i="6"/>
  <c r="D190" i="6"/>
  <c r="H191" i="6"/>
  <c r="I191" i="6"/>
  <c r="H428" i="6"/>
  <c r="I428" i="6"/>
  <c r="D142" i="34"/>
  <c r="D427" i="6"/>
  <c r="H27" i="6"/>
  <c r="I27" i="6"/>
  <c r="I297" i="6"/>
  <c r="H297" i="6"/>
  <c r="E28" i="34"/>
  <c r="E27" i="34" s="1"/>
  <c r="I157" i="6"/>
  <c r="H157" i="6"/>
  <c r="E376" i="6"/>
  <c r="I230" i="6"/>
  <c r="H230" i="6"/>
  <c r="G412" i="6"/>
  <c r="H210" i="6"/>
  <c r="I210" i="6"/>
  <c r="H87" i="10"/>
  <c r="D86" i="10"/>
  <c r="I87" i="10"/>
  <c r="D154" i="6"/>
  <c r="H155" i="6"/>
  <c r="I155" i="6"/>
  <c r="H196" i="6"/>
  <c r="D195" i="6"/>
  <c r="I196" i="6"/>
  <c r="E391" i="6"/>
  <c r="G164" i="6"/>
  <c r="D66" i="6"/>
  <c r="I67" i="6"/>
  <c r="H67" i="6"/>
  <c r="H337" i="6"/>
  <c r="I337" i="6"/>
  <c r="H275" i="6"/>
  <c r="I275" i="6"/>
  <c r="E19" i="9"/>
  <c r="E319" i="6"/>
  <c r="H197" i="6"/>
  <c r="I197" i="6"/>
  <c r="F273" i="6"/>
  <c r="F267" i="6" s="1"/>
  <c r="I90" i="6"/>
  <c r="H90" i="6"/>
  <c r="F231" i="6"/>
  <c r="I107" i="6"/>
  <c r="H107" i="6"/>
  <c r="D106" i="6"/>
  <c r="G35" i="19"/>
  <c r="G43" i="10"/>
  <c r="I238" i="6"/>
  <c r="H238" i="6"/>
  <c r="D237" i="6"/>
  <c r="I209" i="6"/>
  <c r="H209" i="6"/>
  <c r="I295" i="6"/>
  <c r="H295" i="6"/>
  <c r="G23" i="32"/>
  <c r="I45" i="10"/>
  <c r="H45" i="10"/>
  <c r="F41" i="11"/>
  <c r="F50" i="11" s="1"/>
  <c r="I67" i="10"/>
  <c r="H67" i="10"/>
  <c r="F164" i="6"/>
  <c r="I31" i="19"/>
  <c r="H31" i="19"/>
  <c r="H17" i="19"/>
  <c r="I17" i="19"/>
  <c r="H46" i="10"/>
  <c r="I46" i="10"/>
  <c r="I22" i="19"/>
  <c r="H22" i="19"/>
  <c r="D56" i="10"/>
  <c r="I41" i="26"/>
  <c r="H41" i="26"/>
  <c r="E54" i="19"/>
  <c r="E106" i="6"/>
  <c r="H6" i="10"/>
  <c r="D5" i="10"/>
  <c r="I6" i="10"/>
  <c r="E154" i="6"/>
  <c r="H377" i="6"/>
  <c r="I377" i="6"/>
  <c r="D376" i="6"/>
  <c r="F41" i="6"/>
  <c r="H92" i="10"/>
  <c r="I92" i="10"/>
  <c r="I452" i="6"/>
  <c r="H452" i="6"/>
  <c r="H266" i="6"/>
  <c r="I266" i="6"/>
  <c r="H26" i="19"/>
  <c r="I26" i="19"/>
  <c r="H61" i="10"/>
  <c r="I61" i="10"/>
  <c r="F479" i="6"/>
  <c r="E345" i="6"/>
  <c r="D206" i="6"/>
  <c r="H207" i="6"/>
  <c r="I207" i="6"/>
  <c r="G345" i="6"/>
  <c r="D50" i="10"/>
  <c r="H35" i="26"/>
  <c r="I35" i="26"/>
  <c r="H217" i="6"/>
  <c r="I217" i="6"/>
  <c r="D216" i="6"/>
  <c r="F51" i="6"/>
  <c r="H313" i="6"/>
  <c r="I313" i="6"/>
  <c r="H270" i="6"/>
  <c r="I270" i="6"/>
  <c r="I178" i="6"/>
  <c r="H178" i="6"/>
  <c r="H222" i="6"/>
  <c r="D221" i="6"/>
  <c r="I222" i="6"/>
  <c r="I133" i="6"/>
  <c r="H133" i="6"/>
  <c r="D10" i="6"/>
  <c r="H11" i="6"/>
  <c r="I11" i="6"/>
  <c r="I420" i="6"/>
  <c r="H420" i="6"/>
  <c r="H122" i="6"/>
  <c r="I122" i="6"/>
  <c r="D121" i="6"/>
  <c r="I194" i="6"/>
  <c r="H194" i="6"/>
  <c r="H147" i="6"/>
  <c r="I147" i="6"/>
  <c r="H76" i="11"/>
  <c r="D75" i="11"/>
  <c r="I76" i="11"/>
  <c r="I73" i="10"/>
  <c r="H73" i="10"/>
  <c r="H349" i="6"/>
  <c r="I349" i="6"/>
  <c r="H20" i="19"/>
  <c r="I20" i="19"/>
  <c r="E25" i="6"/>
  <c r="I23" i="6"/>
  <c r="H23" i="6"/>
  <c r="E87" i="6"/>
  <c r="D242" i="6"/>
  <c r="I243" i="6"/>
  <c r="H243" i="6"/>
  <c r="D10" i="34"/>
  <c r="H13" i="34"/>
  <c r="I13" i="34"/>
  <c r="D14" i="32"/>
  <c r="H13" i="32"/>
  <c r="I13" i="32"/>
  <c r="G262" i="6"/>
  <c r="H411" i="6"/>
  <c r="I411" i="6"/>
  <c r="I13" i="6"/>
  <c r="H13" i="6"/>
  <c r="G50" i="11"/>
  <c r="I73" i="6"/>
  <c r="D72" i="6"/>
  <c r="H73" i="6"/>
  <c r="F116" i="6"/>
  <c r="I356" i="6"/>
  <c r="B356" i="6" s="1"/>
  <c r="H356" i="6"/>
  <c r="D355" i="6"/>
  <c r="E427" i="6"/>
  <c r="E142" i="34"/>
  <c r="E141" i="34" s="1"/>
  <c r="H370" i="6"/>
  <c r="I370" i="6"/>
  <c r="B370" i="6" s="1"/>
  <c r="I69" i="6"/>
  <c r="H69" i="6"/>
  <c r="F350" i="6"/>
  <c r="I16" i="9"/>
  <c r="B16" i="9" s="1"/>
  <c r="H16" i="9"/>
  <c r="I132" i="6"/>
  <c r="D131" i="6"/>
  <c r="H132" i="6"/>
  <c r="I363" i="6"/>
  <c r="H363" i="6"/>
  <c r="D293" i="6"/>
  <c r="I294" i="6"/>
  <c r="H294" i="6"/>
  <c r="H36" i="19"/>
  <c r="I36" i="19"/>
  <c r="H202" i="6"/>
  <c r="I202" i="6"/>
  <c r="I385" i="6"/>
  <c r="H385" i="6"/>
  <c r="H229" i="6"/>
  <c r="I229" i="6"/>
  <c r="H198" i="6"/>
  <c r="I198" i="6"/>
  <c r="I8" i="10"/>
  <c r="H8" i="10"/>
  <c r="H399" i="6"/>
  <c r="I399" i="6"/>
  <c r="H31" i="34"/>
  <c r="I31" i="34"/>
  <c r="E51" i="6"/>
  <c r="H232" i="6"/>
  <c r="I232" i="6"/>
  <c r="D231" i="6"/>
  <c r="F66" i="6"/>
  <c r="G92" i="6"/>
  <c r="E242" i="6"/>
  <c r="G402" i="6"/>
  <c r="E247" i="6"/>
  <c r="H223" i="6"/>
  <c r="I223" i="6"/>
  <c r="I186" i="6"/>
  <c r="D185" i="6"/>
  <c r="H186" i="6"/>
  <c r="H145" i="6"/>
  <c r="I145" i="6"/>
  <c r="D144" i="6"/>
  <c r="I75" i="6"/>
  <c r="H75" i="6"/>
  <c r="I34" i="11"/>
  <c r="H34" i="11"/>
  <c r="I113" i="6"/>
  <c r="H113" i="6"/>
  <c r="H173" i="6"/>
  <c r="I173" i="6"/>
  <c r="I308" i="6"/>
  <c r="H308" i="6"/>
  <c r="G221" i="6"/>
  <c r="I9" i="10"/>
  <c r="H9" i="10"/>
  <c r="G50" i="10"/>
  <c r="G49" i="10" s="1"/>
  <c r="G61" i="26"/>
  <c r="G46" i="19" s="1"/>
  <c r="G45" i="19" s="1"/>
  <c r="G422" i="6"/>
  <c r="F467" i="6"/>
  <c r="G169" i="6"/>
  <c r="H454" i="6"/>
  <c r="I454" i="6"/>
  <c r="E206" i="6"/>
  <c r="H26" i="34"/>
  <c r="I26" i="34"/>
  <c r="E149" i="6"/>
  <c r="H95" i="10"/>
  <c r="I95" i="10"/>
  <c r="I43" i="11"/>
  <c r="H43" i="11"/>
  <c r="H47" i="19"/>
  <c r="I47" i="19"/>
  <c r="G56" i="6"/>
  <c r="F216" i="6"/>
  <c r="G206" i="6"/>
  <c r="H249" i="6"/>
  <c r="I249" i="6"/>
  <c r="I124" i="6"/>
  <c r="H124" i="6"/>
  <c r="H22" i="34"/>
  <c r="I22" i="34"/>
  <c r="H46" i="11"/>
  <c r="I46" i="11"/>
  <c r="H19" i="6"/>
  <c r="I19" i="6"/>
  <c r="I344" i="6"/>
  <c r="B344" i="6" s="1"/>
  <c r="H344" i="6"/>
  <c r="E350" i="6"/>
  <c r="I429" i="6"/>
  <c r="H429" i="6"/>
  <c r="D143" i="34"/>
  <c r="F422" i="6"/>
  <c r="I12" i="19"/>
  <c r="H12" i="19"/>
  <c r="F226" i="6"/>
  <c r="E30" i="6"/>
  <c r="I170" i="6"/>
  <c r="H170" i="6"/>
  <c r="D169" i="6"/>
  <c r="H29" i="19"/>
  <c r="I29" i="19"/>
  <c r="H66" i="10"/>
  <c r="I66" i="10"/>
  <c r="H47" i="10"/>
  <c r="I47" i="10"/>
  <c r="I18" i="9"/>
  <c r="B18" i="9" s="1"/>
  <c r="H18" i="9"/>
  <c r="G144" i="6"/>
  <c r="I423" i="6"/>
  <c r="H423" i="6"/>
  <c r="D422" i="6"/>
  <c r="H17" i="6"/>
  <c r="I17" i="6"/>
  <c r="G25" i="6"/>
  <c r="I398" i="6"/>
  <c r="H398" i="6"/>
  <c r="D397" i="6"/>
  <c r="H401" i="6"/>
  <c r="I401" i="6"/>
  <c r="B401" i="6" s="1"/>
  <c r="I246" i="6"/>
  <c r="H246" i="6"/>
  <c r="D149" i="6"/>
  <c r="I150" i="6"/>
  <c r="H150" i="6"/>
  <c r="D116" i="6"/>
  <c r="H117" i="6"/>
  <c r="I117" i="6"/>
  <c r="G10" i="34"/>
  <c r="G9" i="34" s="1"/>
  <c r="H183" i="6"/>
  <c r="I183" i="6"/>
  <c r="I12" i="6"/>
  <c r="H12" i="6"/>
  <c r="G87" i="6"/>
  <c r="I25" i="34"/>
  <c r="H25" i="34"/>
  <c r="H24" i="34"/>
  <c r="I24" i="34"/>
  <c r="I23" i="10"/>
  <c r="H23" i="10"/>
  <c r="H43" i="6"/>
  <c r="I43" i="6"/>
  <c r="G46" i="6"/>
  <c r="E335" i="6"/>
  <c r="I85" i="6"/>
  <c r="H85" i="6"/>
  <c r="H23" i="34"/>
  <c r="I23" i="34"/>
  <c r="E5" i="10"/>
  <c r="G35" i="6"/>
  <c r="G72" i="6"/>
  <c r="E131" i="6"/>
  <c r="H310" i="6"/>
  <c r="I310" i="6"/>
  <c r="D309" i="6"/>
  <c r="F242" i="6"/>
  <c r="H380" i="6"/>
  <c r="I380" i="6"/>
  <c r="G28" i="34"/>
  <c r="G27" i="34" s="1"/>
  <c r="I62" i="10"/>
  <c r="H62" i="10"/>
  <c r="E340" i="6"/>
  <c r="I276" i="6"/>
  <c r="H276" i="6"/>
  <c r="F376" i="6"/>
  <c r="G366" i="6"/>
  <c r="I286" i="6"/>
  <c r="H286" i="6"/>
  <c r="E252" i="6"/>
  <c r="E26" i="5"/>
  <c r="E45" i="5"/>
  <c r="I146" i="6"/>
  <c r="H146" i="6"/>
  <c r="H272" i="6"/>
  <c r="I272" i="6"/>
  <c r="E283" i="6"/>
  <c r="G211" i="6"/>
  <c r="H17" i="34"/>
  <c r="I17" i="34"/>
  <c r="H18" i="10"/>
  <c r="I18" i="10"/>
  <c r="F417" i="6"/>
  <c r="D314" i="6"/>
  <c r="H315" i="6"/>
  <c r="I315" i="6"/>
  <c r="G417" i="6"/>
  <c r="I379" i="6"/>
  <c r="H379" i="6"/>
  <c r="E262" i="6"/>
  <c r="I375" i="6"/>
  <c r="B375" i="6" s="1"/>
  <c r="H375" i="6"/>
  <c r="I76" i="6"/>
  <c r="H76" i="6"/>
  <c r="G149" i="6"/>
  <c r="F10" i="34"/>
  <c r="F9" i="34" s="1"/>
  <c r="F36" i="34" s="1"/>
  <c r="E66" i="6"/>
  <c r="I38" i="6"/>
  <c r="H38" i="6"/>
  <c r="H219" i="6"/>
  <c r="I219" i="6"/>
  <c r="H45" i="6"/>
  <c r="I45" i="6"/>
  <c r="I134" i="6"/>
  <c r="H134" i="6"/>
  <c r="F54" i="19"/>
  <c r="F121" i="6"/>
  <c r="H96" i="10"/>
  <c r="I96" i="10"/>
  <c r="G397" i="6"/>
  <c r="G15" i="6"/>
  <c r="I395" i="6"/>
  <c r="H395" i="6"/>
  <c r="D283" i="6"/>
  <c r="H284" i="6"/>
  <c r="I284" i="6"/>
  <c r="F30" i="6"/>
  <c r="I125" i="6"/>
  <c r="H125" i="6"/>
  <c r="I414" i="6"/>
  <c r="H414" i="6"/>
  <c r="G252" i="6"/>
  <c r="F345" i="6"/>
  <c r="I93" i="6"/>
  <c r="D92" i="6"/>
  <c r="H93" i="6"/>
  <c r="H72" i="10"/>
  <c r="I72" i="10"/>
  <c r="H100" i="10"/>
  <c r="I100" i="10"/>
  <c r="E195" i="6"/>
  <c r="G19" i="9"/>
  <c r="I53" i="19"/>
  <c r="H53" i="19"/>
  <c r="D54" i="19"/>
  <c r="H44" i="11"/>
  <c r="I44" i="11"/>
  <c r="G131" i="6"/>
  <c r="I213" i="6"/>
  <c r="H213" i="6"/>
  <c r="I233" i="6"/>
  <c r="H233" i="6"/>
  <c r="I16" i="6"/>
  <c r="D15" i="6"/>
  <c r="H16" i="6"/>
  <c r="I17" i="10"/>
  <c r="H17" i="10"/>
  <c r="G51" i="6"/>
  <c r="H123" i="6"/>
  <c r="I123" i="6"/>
  <c r="H35" i="11"/>
  <c r="I35" i="11"/>
  <c r="H128" i="6"/>
  <c r="I128" i="6"/>
  <c r="F402" i="6"/>
  <c r="G5" i="10"/>
  <c r="H79" i="6"/>
  <c r="I79" i="6"/>
  <c r="H135" i="6"/>
  <c r="I135" i="6"/>
  <c r="H7" i="10"/>
  <c r="I7" i="10"/>
  <c r="D304" i="6"/>
  <c r="I305" i="6"/>
  <c r="H305" i="6"/>
  <c r="D19" i="9"/>
  <c r="H14" i="9"/>
  <c r="I14" i="9"/>
  <c r="B14" i="9" s="1"/>
  <c r="G216" i="6"/>
  <c r="I244" i="6"/>
  <c r="H244" i="6"/>
  <c r="H384" i="6"/>
  <c r="I384" i="6"/>
  <c r="H98" i="10"/>
  <c r="I98" i="10"/>
  <c r="G195" i="6"/>
  <c r="F87" i="6"/>
  <c r="E257" i="6"/>
  <c r="I60" i="6"/>
  <c r="H60" i="6"/>
  <c r="I44" i="6"/>
  <c r="H44" i="6"/>
  <c r="H235" i="6"/>
  <c r="I235" i="6"/>
  <c r="E278" i="6"/>
  <c r="D345" i="6"/>
  <c r="H346" i="6"/>
  <c r="I346" i="6"/>
  <c r="E360" i="6"/>
  <c r="F159" i="6"/>
  <c r="H250" i="6"/>
  <c r="I250" i="6"/>
  <c r="I103" i="10"/>
  <c r="H103" i="10"/>
  <c r="D51" i="6"/>
  <c r="I52" i="6"/>
  <c r="H52" i="6"/>
  <c r="E467" i="6"/>
  <c r="H71" i="10"/>
  <c r="I71" i="10"/>
  <c r="D319" i="6"/>
  <c r="H320" i="6"/>
  <c r="I320" i="6"/>
  <c r="E121" i="6"/>
  <c r="I353" i="6"/>
  <c r="H353" i="6"/>
  <c r="F24" i="10"/>
  <c r="G154" i="6"/>
  <c r="F92" i="6"/>
  <c r="D391" i="6"/>
  <c r="I392" i="6"/>
  <c r="H392" i="6"/>
  <c r="I406" i="6"/>
  <c r="B406" i="6" s="1"/>
  <c r="H406" i="6"/>
  <c r="I251" i="6"/>
  <c r="H251" i="6"/>
  <c r="I416" i="6"/>
  <c r="H416" i="6"/>
  <c r="G126" i="6"/>
  <c r="F247" i="6"/>
  <c r="H16" i="10"/>
  <c r="I16" i="10"/>
  <c r="F237" i="6"/>
  <c r="I21" i="10"/>
  <c r="H21" i="10"/>
  <c r="H259" i="6"/>
  <c r="I259" i="6"/>
  <c r="E43" i="10"/>
  <c r="I14" i="10"/>
  <c r="H14" i="10"/>
  <c r="H253" i="6"/>
  <c r="D252" i="6"/>
  <c r="I253" i="6"/>
  <c r="H184" i="6"/>
  <c r="I184" i="6"/>
  <c r="I120" i="10"/>
  <c r="H120" i="10"/>
  <c r="H415" i="6"/>
  <c r="I415" i="6"/>
  <c r="I54" i="6"/>
  <c r="H54" i="6"/>
  <c r="I42" i="6"/>
  <c r="D41" i="6"/>
  <c r="H42" i="6"/>
  <c r="H224" i="6"/>
  <c r="I224" i="6"/>
  <c r="I462" i="6"/>
  <c r="H462" i="6"/>
  <c r="G118" i="10"/>
  <c r="I28" i="6"/>
  <c r="H28" i="6"/>
  <c r="H282" i="6"/>
  <c r="I282" i="6"/>
  <c r="I271" i="6"/>
  <c r="H271" i="6"/>
  <c r="I408" i="6"/>
  <c r="D407" i="6"/>
  <c r="H408" i="6"/>
  <c r="D57" i="10"/>
  <c r="I42" i="26"/>
  <c r="H42" i="26"/>
  <c r="H33" i="10"/>
  <c r="I33" i="10"/>
  <c r="I367" i="6"/>
  <c r="B367" i="6" s="1"/>
  <c r="H367" i="6"/>
  <c r="D366" i="6"/>
  <c r="I60" i="10"/>
  <c r="H60" i="10"/>
  <c r="E164" i="6"/>
  <c r="I43" i="26"/>
  <c r="H43" i="26"/>
  <c r="D58" i="10"/>
  <c r="H254" i="6"/>
  <c r="I254" i="6"/>
  <c r="F314" i="6"/>
  <c r="I49" i="11"/>
  <c r="H49" i="11"/>
  <c r="H101" i="10"/>
  <c r="I101" i="10"/>
  <c r="E37" i="11"/>
  <c r="E50" i="11" s="1"/>
  <c r="H12" i="10"/>
  <c r="I12" i="10"/>
  <c r="G242" i="6"/>
  <c r="H292" i="6"/>
  <c r="I292" i="6"/>
  <c r="H32" i="19"/>
  <c r="I32" i="19"/>
  <c r="H14" i="34"/>
  <c r="I14" i="34"/>
  <c r="G391" i="6"/>
  <c r="I33" i="11"/>
  <c r="H33" i="11"/>
  <c r="I473" i="6"/>
  <c r="H473" i="6"/>
  <c r="D479" i="6"/>
  <c r="G350" i="6"/>
  <c r="G268" i="6"/>
  <c r="F131" i="6"/>
  <c r="D30" i="11"/>
  <c r="I31" i="11"/>
  <c r="H31" i="11"/>
  <c r="H339" i="6"/>
  <c r="I339" i="6"/>
  <c r="B339" i="6" s="1"/>
  <c r="H351" i="6"/>
  <c r="D350" i="6"/>
  <c r="I351" i="6"/>
  <c r="E159" i="6"/>
  <c r="H118" i="6"/>
  <c r="I118" i="6"/>
  <c r="I120" i="6"/>
  <c r="H120" i="6"/>
  <c r="H30" i="19"/>
  <c r="I30" i="19"/>
  <c r="I94" i="10"/>
  <c r="H94" i="10"/>
  <c r="H387" i="6"/>
  <c r="I387" i="6"/>
  <c r="B387" i="6" s="1"/>
  <c r="D386" i="6"/>
  <c r="E293" i="6"/>
  <c r="B254" i="6" l="1"/>
  <c r="E46" i="19"/>
  <c r="E45" i="19" s="1"/>
  <c r="H61" i="26"/>
  <c r="B369" i="6"/>
  <c r="B379" i="6"/>
  <c r="F143" i="6"/>
  <c r="B423" i="6"/>
  <c r="B416" i="6"/>
  <c r="B259" i="6"/>
  <c r="E365" i="6"/>
  <c r="B392" i="6"/>
  <c r="B321" i="6"/>
  <c r="B398" i="6"/>
  <c r="B191" i="6"/>
  <c r="B351" i="6"/>
  <c r="B222" i="6"/>
  <c r="B166" i="6"/>
  <c r="B323" i="6"/>
  <c r="B421" i="6"/>
  <c r="B413" i="6"/>
  <c r="B292" i="6"/>
  <c r="B184" i="6"/>
  <c r="E35" i="19"/>
  <c r="B249" i="6"/>
  <c r="H64" i="11"/>
  <c r="B308" i="6"/>
  <c r="B382" i="6"/>
  <c r="B320" i="6"/>
  <c r="G40" i="6"/>
  <c r="G6" i="5" s="1"/>
  <c r="F63" i="11"/>
  <c r="F36" i="10" s="1"/>
  <c r="B315" i="6"/>
  <c r="B368" i="6"/>
  <c r="B253" i="6"/>
  <c r="B337" i="6"/>
  <c r="B408" i="6"/>
  <c r="B284" i="6"/>
  <c r="G36" i="34"/>
  <c r="B246" i="6"/>
  <c r="B399" i="6"/>
  <c r="B414" i="6"/>
  <c r="B245" i="6"/>
  <c r="B235" i="6"/>
  <c r="B276" i="6"/>
  <c r="B150" i="6"/>
  <c r="B173" i="6"/>
  <c r="B420" i="6"/>
  <c r="B183" i="6"/>
  <c r="E143" i="6"/>
  <c r="E205" i="6"/>
  <c r="F174" i="6"/>
  <c r="B261" i="6"/>
  <c r="B389" i="6"/>
  <c r="B415" i="6"/>
  <c r="B251" i="6"/>
  <c r="F205" i="6"/>
  <c r="E236" i="6"/>
  <c r="B294" i="6"/>
  <c r="B197" i="6"/>
  <c r="B316" i="6"/>
  <c r="B362" i="6"/>
  <c r="B282" i="6"/>
  <c r="B384" i="6"/>
  <c r="B297" i="6"/>
  <c r="B325" i="6"/>
  <c r="B290" i="6"/>
  <c r="F236" i="6"/>
  <c r="B353" i="6"/>
  <c r="B233" i="6"/>
  <c r="B170" i="6"/>
  <c r="B341" i="6"/>
  <c r="G267" i="6"/>
  <c r="B395" i="6"/>
  <c r="G365" i="6"/>
  <c r="G71" i="6"/>
  <c r="G7" i="5" s="1"/>
  <c r="F136" i="6"/>
  <c r="B230" i="6"/>
  <c r="H386" i="6"/>
  <c r="I386" i="6"/>
  <c r="H30" i="11"/>
  <c r="I30" i="11"/>
  <c r="D50" i="11"/>
  <c r="D23" i="5"/>
  <c r="I196" i="34"/>
  <c r="D44" i="5"/>
  <c r="H196" i="34"/>
  <c r="G35" i="1"/>
  <c r="I391" i="6"/>
  <c r="H391" i="6"/>
  <c r="B244" i="6"/>
  <c r="B305" i="6"/>
  <c r="I92" i="6"/>
  <c r="H92" i="6"/>
  <c r="H314" i="6"/>
  <c r="I314" i="6"/>
  <c r="B272" i="6"/>
  <c r="B310" i="6"/>
  <c r="H149" i="6"/>
  <c r="I149" i="6"/>
  <c r="I422" i="6"/>
  <c r="H422" i="6"/>
  <c r="I64" i="11"/>
  <c r="B64" i="11" s="1"/>
  <c r="I14" i="32"/>
  <c r="H14" i="32"/>
  <c r="H242" i="6"/>
  <c r="I242" i="6"/>
  <c r="B217" i="6"/>
  <c r="D49" i="10"/>
  <c r="I50" i="10"/>
  <c r="H50" i="10"/>
  <c r="B207" i="6"/>
  <c r="B266" i="6"/>
  <c r="H56" i="10"/>
  <c r="I56" i="10"/>
  <c r="I237" i="6"/>
  <c r="D236" i="6"/>
  <c r="H237" i="6"/>
  <c r="D136" i="6"/>
  <c r="I106" i="6"/>
  <c r="H106" i="6"/>
  <c r="H195" i="6"/>
  <c r="I195" i="6"/>
  <c r="B210" i="6"/>
  <c r="F25" i="5"/>
  <c r="F24" i="5" s="1"/>
  <c r="F48" i="5"/>
  <c r="B201" i="6"/>
  <c r="G184" i="34"/>
  <c r="B280" i="6"/>
  <c r="I55" i="10"/>
  <c r="H55" i="10"/>
  <c r="G14" i="5"/>
  <c r="G41" i="5"/>
  <c r="G197" i="34"/>
  <c r="E40" i="6"/>
  <c r="E6" i="5" s="1"/>
  <c r="H467" i="6"/>
  <c r="I467" i="6"/>
  <c r="B342" i="6"/>
  <c r="G29" i="5"/>
  <c r="G47" i="5"/>
  <c r="B260" i="6"/>
  <c r="E33" i="1"/>
  <c r="H412" i="6"/>
  <c r="I412" i="6"/>
  <c r="F396" i="6"/>
  <c r="E396" i="6"/>
  <c r="I20" i="6"/>
  <c r="H20" i="6"/>
  <c r="B228" i="6"/>
  <c r="B241" i="6"/>
  <c r="D30" i="1"/>
  <c r="I43" i="10"/>
  <c r="H43" i="10"/>
  <c r="F30" i="1"/>
  <c r="B306" i="6"/>
  <c r="B162" i="6"/>
  <c r="B158" i="6"/>
  <c r="B358" i="6"/>
  <c r="I159" i="6"/>
  <c r="H159" i="6"/>
  <c r="B390" i="6"/>
  <c r="B151" i="6"/>
  <c r="H185" i="6"/>
  <c r="I185" i="6"/>
  <c r="B385" i="6"/>
  <c r="H355" i="6"/>
  <c r="I355" i="6"/>
  <c r="B194" i="6"/>
  <c r="D9" i="6"/>
  <c r="I10" i="6"/>
  <c r="H10" i="6"/>
  <c r="B178" i="6"/>
  <c r="F40" i="6"/>
  <c r="F6" i="5" s="1"/>
  <c r="H324" i="6"/>
  <c r="I324" i="6"/>
  <c r="B317" i="6"/>
  <c r="G20" i="5"/>
  <c r="G43" i="5"/>
  <c r="I180" i="34"/>
  <c r="H180" i="34"/>
  <c r="G28" i="19"/>
  <c r="G24" i="19" s="1"/>
  <c r="G29" i="1"/>
  <c r="H167" i="34"/>
  <c r="I167" i="34"/>
  <c r="I172" i="34"/>
  <c r="H172" i="34"/>
  <c r="B248" i="6"/>
  <c r="H118" i="10"/>
  <c r="I118" i="10"/>
  <c r="D35" i="1"/>
  <c r="B203" i="6"/>
  <c r="B300" i="6"/>
  <c r="I37" i="19"/>
  <c r="H37" i="19"/>
  <c r="B225" i="6"/>
  <c r="B193" i="6"/>
  <c r="H211" i="6"/>
  <c r="I211" i="6"/>
  <c r="I360" i="6"/>
  <c r="H360" i="6"/>
  <c r="B189" i="6"/>
  <c r="B279" i="6"/>
  <c r="B374" i="6"/>
  <c r="B214" i="6"/>
  <c r="G33" i="1"/>
  <c r="B291" i="6"/>
  <c r="I345" i="6"/>
  <c r="H345" i="6"/>
  <c r="G48" i="5"/>
  <c r="G25" i="5"/>
  <c r="G24" i="5" s="1"/>
  <c r="H283" i="6"/>
  <c r="I283" i="6"/>
  <c r="B186" i="6"/>
  <c r="H231" i="6"/>
  <c r="I231" i="6"/>
  <c r="B202" i="6"/>
  <c r="H293" i="6"/>
  <c r="I293" i="6"/>
  <c r="H121" i="6"/>
  <c r="I121" i="6"/>
  <c r="B270" i="6"/>
  <c r="D205" i="6"/>
  <c r="I206" i="6"/>
  <c r="H206" i="6"/>
  <c r="F44" i="5"/>
  <c r="F23" i="5"/>
  <c r="I376" i="6"/>
  <c r="H376" i="6"/>
  <c r="E136" i="6"/>
  <c r="B238" i="6"/>
  <c r="B155" i="6"/>
  <c r="I10" i="19"/>
  <c r="H10" i="19"/>
  <c r="I179" i="34"/>
  <c r="H179" i="34"/>
  <c r="B327" i="6"/>
  <c r="B302" i="6"/>
  <c r="B176" i="6"/>
  <c r="I226" i="6"/>
  <c r="H226" i="6"/>
  <c r="G63" i="11"/>
  <c r="G36" i="10" s="1"/>
  <c r="H52" i="10"/>
  <c r="I52" i="10"/>
  <c r="E35" i="1"/>
  <c r="H19" i="34"/>
  <c r="I19" i="34"/>
  <c r="D18" i="34"/>
  <c r="B179" i="6"/>
  <c r="H169" i="34"/>
  <c r="I169" i="34"/>
  <c r="B264" i="6"/>
  <c r="I247" i="6"/>
  <c r="H247" i="6"/>
  <c r="B256" i="6"/>
  <c r="H40" i="10"/>
  <c r="D29" i="1"/>
  <c r="I40" i="10"/>
  <c r="D28" i="19"/>
  <c r="B287" i="6"/>
  <c r="H56" i="6"/>
  <c r="I56" i="6"/>
  <c r="B419" i="6"/>
  <c r="H299" i="6"/>
  <c r="D298" i="6"/>
  <c r="I299" i="6"/>
  <c r="F31" i="1"/>
  <c r="B372" i="6"/>
  <c r="G27" i="1"/>
  <c r="B212" i="6"/>
  <c r="B361" i="6"/>
  <c r="B172" i="6"/>
  <c r="H61" i="6"/>
  <c r="I61" i="6"/>
  <c r="B156" i="6"/>
  <c r="B161" i="6"/>
  <c r="E267" i="6"/>
  <c r="B204" i="6"/>
  <c r="H268" i="6"/>
  <c r="I268" i="6"/>
  <c r="D267" i="6"/>
  <c r="B239" i="6"/>
  <c r="D39" i="19"/>
  <c r="H40" i="19"/>
  <c r="I40" i="19"/>
  <c r="G31" i="1"/>
  <c r="B286" i="6"/>
  <c r="H169" i="6"/>
  <c r="I169" i="6"/>
  <c r="G205" i="6"/>
  <c r="H193" i="34"/>
  <c r="I193" i="34"/>
  <c r="H191" i="34"/>
  <c r="I191" i="34"/>
  <c r="B223" i="6"/>
  <c r="B232" i="6"/>
  <c r="B411" i="6"/>
  <c r="I10" i="34"/>
  <c r="D9" i="34"/>
  <c r="H10" i="34"/>
  <c r="F17" i="5"/>
  <c r="F42" i="5"/>
  <c r="B377" i="6"/>
  <c r="G28" i="5"/>
  <c r="G27" i="5" s="1"/>
  <c r="G39" i="5"/>
  <c r="G30" i="1"/>
  <c r="I190" i="6"/>
  <c r="H190" i="6"/>
  <c r="H273" i="6"/>
  <c r="I273" i="6"/>
  <c r="G44" i="5"/>
  <c r="G23" i="5"/>
  <c r="E17" i="5"/>
  <c r="E42" i="5"/>
  <c r="G298" i="6"/>
  <c r="B307" i="6"/>
  <c r="H16" i="27"/>
  <c r="I16" i="27"/>
  <c r="H111" i="6"/>
  <c r="I111" i="6"/>
  <c r="H35" i="6"/>
  <c r="I35" i="6"/>
  <c r="I25" i="9"/>
  <c r="D45" i="5"/>
  <c r="H25" i="9"/>
  <c r="D26" i="5"/>
  <c r="H175" i="6"/>
  <c r="D174" i="6"/>
  <c r="I175" i="6"/>
  <c r="E32" i="1"/>
  <c r="I168" i="34"/>
  <c r="H168" i="34"/>
  <c r="B409" i="6"/>
  <c r="B403" i="6"/>
  <c r="E31" i="1"/>
  <c r="H371" i="6"/>
  <c r="I371" i="6"/>
  <c r="I340" i="6"/>
  <c r="H340" i="6"/>
  <c r="B338" i="6"/>
  <c r="B410" i="6"/>
  <c r="I417" i="6"/>
  <c r="H417" i="6"/>
  <c r="G236" i="6"/>
  <c r="B404" i="6"/>
  <c r="G334" i="6"/>
  <c r="B199" i="6"/>
  <c r="B343" i="6"/>
  <c r="H53" i="10"/>
  <c r="I53" i="10"/>
  <c r="B400" i="6"/>
  <c r="B378" i="6"/>
  <c r="F32" i="1"/>
  <c r="B271" i="6"/>
  <c r="B224" i="6"/>
  <c r="B198" i="6"/>
  <c r="D35" i="19"/>
  <c r="B363" i="6"/>
  <c r="I75" i="11"/>
  <c r="D38" i="10"/>
  <c r="H75" i="11"/>
  <c r="B313" i="6"/>
  <c r="F41" i="5"/>
  <c r="F197" i="34"/>
  <c r="F14" i="5"/>
  <c r="I38" i="19"/>
  <c r="H38" i="19"/>
  <c r="E25" i="5"/>
  <c r="E24" i="5" s="1"/>
  <c r="E48" i="5"/>
  <c r="H66" i="6"/>
  <c r="I66" i="6"/>
  <c r="H154" i="6"/>
  <c r="I154" i="6"/>
  <c r="B274" i="6"/>
  <c r="B234" i="6"/>
  <c r="B79" i="11"/>
  <c r="G42" i="5"/>
  <c r="G17" i="5"/>
  <c r="B336" i="6"/>
  <c r="B347" i="6"/>
  <c r="E43" i="5"/>
  <c r="E20" i="5"/>
  <c r="F298" i="6"/>
  <c r="I178" i="34"/>
  <c r="H178" i="34"/>
  <c r="F71" i="6"/>
  <c r="F7" i="5" s="1"/>
  <c r="B21" i="32"/>
  <c r="B354" i="6"/>
  <c r="B425" i="6"/>
  <c r="B394" i="6"/>
  <c r="B152" i="6"/>
  <c r="B227" i="6"/>
  <c r="H171" i="34"/>
  <c r="I171" i="34"/>
  <c r="I54" i="10"/>
  <c r="H54" i="10"/>
  <c r="I402" i="6"/>
  <c r="H402" i="6"/>
  <c r="B348" i="6"/>
  <c r="B277" i="6"/>
  <c r="B359" i="6"/>
  <c r="F9" i="6"/>
  <c r="I288" i="6"/>
  <c r="H288" i="6"/>
  <c r="F35" i="1"/>
  <c r="B168" i="6"/>
  <c r="B418" i="6"/>
  <c r="H25" i="6"/>
  <c r="I25" i="6"/>
  <c r="I180" i="6"/>
  <c r="H180" i="6"/>
  <c r="B301" i="6"/>
  <c r="H87" i="6"/>
  <c r="I87" i="6"/>
  <c r="B263" i="6"/>
  <c r="B269" i="6"/>
  <c r="I58" i="10"/>
  <c r="H58" i="10"/>
  <c r="I407" i="6"/>
  <c r="H407" i="6"/>
  <c r="I252" i="6"/>
  <c r="H252" i="6"/>
  <c r="I319" i="6"/>
  <c r="H319" i="6"/>
  <c r="B250" i="6"/>
  <c r="H304" i="6"/>
  <c r="I304" i="6"/>
  <c r="G26" i="1"/>
  <c r="H195" i="34"/>
  <c r="I195" i="34"/>
  <c r="D20" i="5"/>
  <c r="D43" i="5"/>
  <c r="D365" i="6"/>
  <c r="H366" i="6"/>
  <c r="I366" i="6"/>
  <c r="E184" i="34"/>
  <c r="H54" i="19"/>
  <c r="I54" i="19"/>
  <c r="H190" i="34"/>
  <c r="D41" i="5"/>
  <c r="D197" i="34"/>
  <c r="D14" i="5"/>
  <c r="I190" i="34"/>
  <c r="E30" i="1"/>
  <c r="B346" i="6"/>
  <c r="I15" i="6"/>
  <c r="H15" i="6"/>
  <c r="B219" i="6"/>
  <c r="H116" i="6"/>
  <c r="I116" i="6"/>
  <c r="D396" i="6"/>
  <c r="H397" i="6"/>
  <c r="I397" i="6"/>
  <c r="F184" i="34"/>
  <c r="D143" i="6"/>
  <c r="I144" i="6"/>
  <c r="H144" i="6"/>
  <c r="D46" i="19"/>
  <c r="I61" i="26"/>
  <c r="B295" i="6"/>
  <c r="B275" i="6"/>
  <c r="H427" i="6"/>
  <c r="I427" i="6"/>
  <c r="B255" i="6"/>
  <c r="I37" i="11"/>
  <c r="H37" i="11"/>
  <c r="G32" i="1"/>
  <c r="H97" i="6"/>
  <c r="I97" i="6"/>
  <c r="E71" i="6"/>
  <c r="E7" i="5" s="1"/>
  <c r="H30" i="6"/>
  <c r="I30" i="6"/>
  <c r="E174" i="6"/>
  <c r="E197" i="34"/>
  <c r="E41" i="5"/>
  <c r="E14" i="5"/>
  <c r="F334" i="6"/>
  <c r="B163" i="6"/>
  <c r="B208" i="6"/>
  <c r="B303" i="6"/>
  <c r="B218" i="6"/>
  <c r="D27" i="1"/>
  <c r="H24" i="10"/>
  <c r="I24" i="10"/>
  <c r="H164" i="6"/>
  <c r="I164" i="6"/>
  <c r="B328" i="6"/>
  <c r="B220" i="6"/>
  <c r="B405" i="6"/>
  <c r="E36" i="34"/>
  <c r="B289" i="6"/>
  <c r="F33" i="1"/>
  <c r="B312" i="6"/>
  <c r="B187" i="6"/>
  <c r="H23" i="32"/>
  <c r="I23" i="32"/>
  <c r="D39" i="5"/>
  <c r="D28" i="5"/>
  <c r="F26" i="1"/>
  <c r="B181" i="6"/>
  <c r="B285" i="6"/>
  <c r="B322" i="6"/>
  <c r="B192" i="6"/>
  <c r="I77" i="6"/>
  <c r="H77" i="6"/>
  <c r="H479" i="6"/>
  <c r="I479" i="6"/>
  <c r="H57" i="10"/>
  <c r="I57" i="10"/>
  <c r="F27" i="1"/>
  <c r="B213" i="6"/>
  <c r="G396" i="6"/>
  <c r="B146" i="6"/>
  <c r="E334" i="6"/>
  <c r="G143" i="6"/>
  <c r="I192" i="34"/>
  <c r="H192" i="34"/>
  <c r="B380" i="6"/>
  <c r="H350" i="6"/>
  <c r="I350" i="6"/>
  <c r="I194" i="34"/>
  <c r="H194" i="34"/>
  <c r="D17" i="5"/>
  <c r="D42" i="5"/>
  <c r="D40" i="6"/>
  <c r="H41" i="6"/>
  <c r="I41" i="6"/>
  <c r="H51" i="6"/>
  <c r="I51" i="6"/>
  <c r="H19" i="9"/>
  <c r="D25" i="5"/>
  <c r="D48" i="5"/>
  <c r="I19" i="9"/>
  <c r="B19" i="9" s="1"/>
  <c r="E26" i="1"/>
  <c r="B145" i="6"/>
  <c r="B229" i="6"/>
  <c r="I131" i="6"/>
  <c r="H131" i="6"/>
  <c r="D71" i="6"/>
  <c r="I72" i="6"/>
  <c r="H72" i="6"/>
  <c r="B147" i="6"/>
  <c r="I221" i="6"/>
  <c r="H221" i="6"/>
  <c r="F20" i="5"/>
  <c r="F43" i="5"/>
  <c r="I86" i="10"/>
  <c r="H86" i="10"/>
  <c r="D33" i="1"/>
  <c r="H142" i="34"/>
  <c r="D141" i="34"/>
  <c r="I142" i="34"/>
  <c r="H381" i="6"/>
  <c r="I381" i="6"/>
  <c r="I39" i="10"/>
  <c r="H39" i="10"/>
  <c r="H51" i="10"/>
  <c r="I51" i="10"/>
  <c r="F365" i="6"/>
  <c r="D334" i="6"/>
  <c r="H335" i="6"/>
  <c r="I335" i="6"/>
  <c r="H183" i="34"/>
  <c r="I183" i="34"/>
  <c r="D184" i="34"/>
  <c r="I177" i="34"/>
  <c r="H177" i="34"/>
  <c r="B258" i="6"/>
  <c r="B148" i="6"/>
  <c r="H76" i="10"/>
  <c r="I76" i="10"/>
  <c r="D75" i="10"/>
  <c r="G9" i="6"/>
  <c r="G136" i="6"/>
  <c r="H173" i="34"/>
  <c r="I173" i="34"/>
  <c r="B265" i="6"/>
  <c r="I28" i="34"/>
  <c r="D27" i="34"/>
  <c r="H28" i="34"/>
  <c r="B188" i="6"/>
  <c r="B171" i="6"/>
  <c r="B373" i="6"/>
  <c r="B20" i="32"/>
  <c r="B215" i="6"/>
  <c r="B177" i="6"/>
  <c r="B393" i="6"/>
  <c r="H262" i="6"/>
  <c r="I262" i="6"/>
  <c r="B424" i="6"/>
  <c r="E9" i="6"/>
  <c r="B364" i="6"/>
  <c r="H309" i="6"/>
  <c r="I309" i="6"/>
  <c r="H143" i="34"/>
  <c r="I143" i="34"/>
  <c r="E29" i="5"/>
  <c r="E47" i="5"/>
  <c r="B243" i="6"/>
  <c r="B349" i="6"/>
  <c r="I216" i="6"/>
  <c r="H216" i="6"/>
  <c r="I5" i="10"/>
  <c r="H5" i="10"/>
  <c r="D26" i="1"/>
  <c r="B209" i="6"/>
  <c r="B196" i="6"/>
  <c r="B157" i="6"/>
  <c r="E27" i="1"/>
  <c r="I200" i="6"/>
  <c r="H200" i="6"/>
  <c r="B240" i="6"/>
  <c r="G174" i="6"/>
  <c r="B426" i="6"/>
  <c r="I59" i="10"/>
  <c r="H59" i="10"/>
  <c r="E44" i="5"/>
  <c r="E23" i="5"/>
  <c r="H182" i="34"/>
  <c r="I182" i="34"/>
  <c r="H181" i="34"/>
  <c r="I181" i="34"/>
  <c r="H257" i="6"/>
  <c r="I257" i="6"/>
  <c r="I82" i="6"/>
  <c r="H82" i="6"/>
  <c r="H46" i="6"/>
  <c r="I46" i="6"/>
  <c r="B153" i="6"/>
  <c r="H170" i="34"/>
  <c r="I170" i="34"/>
  <c r="B165" i="6"/>
  <c r="B281" i="6"/>
  <c r="B326" i="6"/>
  <c r="B357" i="6"/>
  <c r="B167" i="6"/>
  <c r="H41" i="11"/>
  <c r="I41" i="11"/>
  <c r="F29" i="5"/>
  <c r="F47" i="5"/>
  <c r="E298" i="6"/>
  <c r="I126" i="6"/>
  <c r="H126" i="6"/>
  <c r="B352" i="6"/>
  <c r="B22" i="32"/>
  <c r="B388" i="6"/>
  <c r="B311" i="6"/>
  <c r="B318" i="6"/>
  <c r="I278" i="6"/>
  <c r="H278" i="6"/>
  <c r="B383" i="6"/>
  <c r="B160" i="6"/>
  <c r="B182" i="6"/>
  <c r="B296" i="6"/>
  <c r="B366" i="6" l="1"/>
  <c r="H70" i="11"/>
  <c r="B381" i="6"/>
  <c r="B350" i="6"/>
  <c r="E63" i="11"/>
  <c r="E36" i="10" s="1"/>
  <c r="D56" i="11"/>
  <c r="D35" i="10" s="1"/>
  <c r="D63" i="11"/>
  <c r="I69" i="11"/>
  <c r="B69" i="11" s="1"/>
  <c r="H69" i="11"/>
  <c r="B23" i="32"/>
  <c r="H57" i="11"/>
  <c r="I57" i="11"/>
  <c r="B57" i="11" s="1"/>
  <c r="I71" i="11"/>
  <c r="B71" i="11" s="1"/>
  <c r="B402" i="6"/>
  <c r="F46" i="5"/>
  <c r="F24" i="1" s="1"/>
  <c r="I58" i="11"/>
  <c r="B58" i="11" s="1"/>
  <c r="H62" i="11"/>
  <c r="H58" i="11"/>
  <c r="B216" i="6"/>
  <c r="B262" i="6"/>
  <c r="B257" i="6"/>
  <c r="B397" i="6"/>
  <c r="F56" i="11"/>
  <c r="F35" i="10" s="1"/>
  <c r="H59" i="11"/>
  <c r="B371" i="6"/>
  <c r="F67" i="11"/>
  <c r="F37" i="10" s="1"/>
  <c r="B335" i="6"/>
  <c r="E46" i="5"/>
  <c r="E24" i="1" s="1"/>
  <c r="B200" i="6"/>
  <c r="H65" i="11"/>
  <c r="H71" i="11"/>
  <c r="E56" i="11"/>
  <c r="E35" i="10" s="1"/>
  <c r="B221" i="6"/>
  <c r="I65" i="11"/>
  <c r="B65" i="11" s="1"/>
  <c r="B278" i="6"/>
  <c r="H60" i="11"/>
  <c r="D36" i="10"/>
  <c r="E435" i="6"/>
  <c r="H39" i="5"/>
  <c r="I39" i="5"/>
  <c r="E40" i="5"/>
  <c r="H14" i="5"/>
  <c r="I14" i="5"/>
  <c r="H43" i="5"/>
  <c r="I43" i="5"/>
  <c r="B252" i="6"/>
  <c r="B180" i="6"/>
  <c r="B247" i="6"/>
  <c r="B226" i="6"/>
  <c r="B376" i="6"/>
  <c r="B211" i="6"/>
  <c r="B195" i="6"/>
  <c r="I23" i="5"/>
  <c r="H23" i="5"/>
  <c r="D6" i="5"/>
  <c r="H40" i="6"/>
  <c r="I40" i="6"/>
  <c r="H27" i="1"/>
  <c r="I27" i="1"/>
  <c r="I197" i="34"/>
  <c r="H197" i="34"/>
  <c r="I20" i="5"/>
  <c r="H20" i="5"/>
  <c r="B288" i="6"/>
  <c r="H35" i="19"/>
  <c r="I35" i="19"/>
  <c r="B175" i="6"/>
  <c r="B273" i="6"/>
  <c r="I39" i="19"/>
  <c r="H39" i="19"/>
  <c r="H28" i="19"/>
  <c r="I28" i="19"/>
  <c r="D24" i="19"/>
  <c r="B324" i="6"/>
  <c r="H9" i="6"/>
  <c r="D102" i="6"/>
  <c r="D5" i="5"/>
  <c r="I9" i="6"/>
  <c r="H236" i="6"/>
  <c r="I236" i="6"/>
  <c r="B391" i="6"/>
  <c r="I50" i="11"/>
  <c r="H50" i="11"/>
  <c r="B309" i="6"/>
  <c r="I27" i="34"/>
  <c r="H27" i="34"/>
  <c r="D435" i="6"/>
  <c r="I334" i="6"/>
  <c r="H334" i="6"/>
  <c r="I48" i="5"/>
  <c r="H48" i="5"/>
  <c r="G67" i="11"/>
  <c r="G37" i="10" s="1"/>
  <c r="I41" i="5"/>
  <c r="H41" i="5"/>
  <c r="D40" i="5"/>
  <c r="B304" i="6"/>
  <c r="B407" i="6"/>
  <c r="F5" i="5"/>
  <c r="F102" i="6"/>
  <c r="H174" i="6"/>
  <c r="I174" i="6"/>
  <c r="H9" i="34"/>
  <c r="D36" i="34"/>
  <c r="I9" i="34"/>
  <c r="B299" i="6"/>
  <c r="E67" i="11"/>
  <c r="E37" i="10" s="1"/>
  <c r="B293" i="6"/>
  <c r="B237" i="6"/>
  <c r="H49" i="10"/>
  <c r="I49" i="10"/>
  <c r="D31" i="1"/>
  <c r="H141" i="34"/>
  <c r="D29" i="5"/>
  <c r="I141" i="34"/>
  <c r="D47" i="5"/>
  <c r="H25" i="5"/>
  <c r="I25" i="5"/>
  <c r="D24" i="5"/>
  <c r="I42" i="5"/>
  <c r="H42" i="5"/>
  <c r="I396" i="6"/>
  <c r="H396" i="6"/>
  <c r="F40" i="5"/>
  <c r="G435" i="6"/>
  <c r="B340" i="6"/>
  <c r="H267" i="6"/>
  <c r="I267" i="6"/>
  <c r="I298" i="6"/>
  <c r="H298" i="6"/>
  <c r="H29" i="1"/>
  <c r="I29" i="1"/>
  <c r="B345" i="6"/>
  <c r="I60" i="11"/>
  <c r="B60" i="11" s="1"/>
  <c r="B355" i="6"/>
  <c r="B159" i="6"/>
  <c r="B314" i="6"/>
  <c r="I74" i="11"/>
  <c r="B74" i="11" s="1"/>
  <c r="H74" i="11"/>
  <c r="H72" i="11"/>
  <c r="I72" i="11"/>
  <c r="B72" i="11" s="1"/>
  <c r="G5" i="5"/>
  <c r="G102" i="6"/>
  <c r="I184" i="34"/>
  <c r="H184" i="34"/>
  <c r="H17" i="5"/>
  <c r="I17" i="5"/>
  <c r="H46" i="19"/>
  <c r="I46" i="19"/>
  <c r="D45" i="19"/>
  <c r="H26" i="5"/>
  <c r="I26" i="5"/>
  <c r="B190" i="6"/>
  <c r="B268" i="6"/>
  <c r="I136" i="6"/>
  <c r="H136" i="6"/>
  <c r="B242" i="6"/>
  <c r="B386" i="6"/>
  <c r="E5" i="5"/>
  <c r="E102" i="6"/>
  <c r="H73" i="11"/>
  <c r="I73" i="11"/>
  <c r="B73" i="11" s="1"/>
  <c r="D32" i="1"/>
  <c r="H75" i="10"/>
  <c r="I75" i="10"/>
  <c r="B169" i="6"/>
  <c r="I18" i="34"/>
  <c r="H18" i="34"/>
  <c r="I59" i="11"/>
  <c r="B59" i="11" s="1"/>
  <c r="B206" i="6"/>
  <c r="B231" i="6"/>
  <c r="G40" i="5"/>
  <c r="I66" i="11"/>
  <c r="B66" i="11" s="1"/>
  <c r="H66" i="11"/>
  <c r="E329" i="6"/>
  <c r="I62" i="11"/>
  <c r="B62" i="11" s="1"/>
  <c r="H68" i="11"/>
  <c r="I68" i="11"/>
  <c r="B68" i="11" s="1"/>
  <c r="D67" i="11"/>
  <c r="H33" i="1"/>
  <c r="I33" i="1"/>
  <c r="F435" i="6"/>
  <c r="B144" i="6"/>
  <c r="B319" i="6"/>
  <c r="I70" i="11"/>
  <c r="B70" i="11" s="1"/>
  <c r="B154" i="6"/>
  <c r="I38" i="10"/>
  <c r="H38" i="10"/>
  <c r="H45" i="5"/>
  <c r="I45" i="5"/>
  <c r="H205" i="6"/>
  <c r="I205" i="6"/>
  <c r="B283" i="6"/>
  <c r="H35" i="1"/>
  <c r="I35" i="1"/>
  <c r="B185" i="6"/>
  <c r="I30" i="1"/>
  <c r="H30" i="1"/>
  <c r="B412" i="6"/>
  <c r="G46" i="5"/>
  <c r="B422" i="6"/>
  <c r="H44" i="5"/>
  <c r="I44" i="5"/>
  <c r="I61" i="11"/>
  <c r="B61" i="11" s="1"/>
  <c r="H61" i="11"/>
  <c r="I26" i="1"/>
  <c r="H26" i="1"/>
  <c r="I71" i="6"/>
  <c r="H71" i="6"/>
  <c r="D7" i="5"/>
  <c r="G329" i="6"/>
  <c r="D27" i="5"/>
  <c r="I28" i="5"/>
  <c r="H28" i="5"/>
  <c r="B164" i="6"/>
  <c r="H143" i="6"/>
  <c r="D329" i="6"/>
  <c r="I143" i="6"/>
  <c r="I365" i="6"/>
  <c r="H365" i="6"/>
  <c r="B417" i="6"/>
  <c r="B360" i="6"/>
  <c r="G56" i="11"/>
  <c r="B149" i="6"/>
  <c r="F329" i="6"/>
  <c r="I63" i="11" l="1"/>
  <c r="B63" i="11" s="1"/>
  <c r="H63" i="11"/>
  <c r="F34" i="10"/>
  <c r="H56" i="11"/>
  <c r="F80" i="11"/>
  <c r="B435" i="6"/>
  <c r="I7" i="5"/>
  <c r="H7" i="5"/>
  <c r="E49" i="1"/>
  <c r="E51" i="1"/>
  <c r="E8" i="5"/>
  <c r="I42" i="34"/>
  <c r="H42" i="34"/>
  <c r="G8" i="5"/>
  <c r="G51" i="1"/>
  <c r="G49" i="1"/>
  <c r="H45" i="34"/>
  <c r="I45" i="34"/>
  <c r="F40" i="34"/>
  <c r="F48" i="34" s="1"/>
  <c r="G40" i="34"/>
  <c r="G48" i="34" s="1"/>
  <c r="I5" i="5"/>
  <c r="D51" i="1"/>
  <c r="D8" i="5"/>
  <c r="D49" i="1"/>
  <c r="H5" i="5"/>
  <c r="I45" i="19"/>
  <c r="H45" i="19"/>
  <c r="D23" i="1"/>
  <c r="I40" i="5"/>
  <c r="H40" i="5"/>
  <c r="I102" i="6"/>
  <c r="H102" i="6"/>
  <c r="E23" i="1"/>
  <c r="E34" i="10"/>
  <c r="D37" i="10"/>
  <c r="D34" i="10" s="1"/>
  <c r="I67" i="11"/>
  <c r="B67" i="11" s="1"/>
  <c r="H67" i="11"/>
  <c r="D40" i="34"/>
  <c r="F23" i="1"/>
  <c r="I43" i="34"/>
  <c r="H43" i="34"/>
  <c r="H36" i="10"/>
  <c r="I36" i="10"/>
  <c r="G35" i="10"/>
  <c r="G34" i="10" s="1"/>
  <c r="G80" i="11"/>
  <c r="I46" i="34"/>
  <c r="H46" i="34"/>
  <c r="I6" i="5"/>
  <c r="H6" i="5"/>
  <c r="D80" i="11"/>
  <c r="G24" i="1"/>
  <c r="I32" i="1"/>
  <c r="H32" i="1"/>
  <c r="B434" i="6"/>
  <c r="B431" i="6"/>
  <c r="B432" i="6"/>
  <c r="B433" i="6"/>
  <c r="B430" i="6"/>
  <c r="B429" i="6"/>
  <c r="B428" i="6"/>
  <c r="H47" i="5"/>
  <c r="D46" i="5"/>
  <c r="I47" i="5"/>
  <c r="I435" i="6"/>
  <c r="H435" i="6"/>
  <c r="H47" i="34"/>
  <c r="I47" i="34"/>
  <c r="I56" i="11"/>
  <c r="B56" i="11" s="1"/>
  <c r="H24" i="5"/>
  <c r="I24" i="5"/>
  <c r="H31" i="1"/>
  <c r="I31" i="1"/>
  <c r="I24" i="19"/>
  <c r="H24" i="19"/>
  <c r="I329" i="6"/>
  <c r="H329" i="6"/>
  <c r="I27" i="5"/>
  <c r="H27" i="5"/>
  <c r="G23" i="1"/>
  <c r="H44" i="34"/>
  <c r="I44" i="34"/>
  <c r="H29" i="5"/>
  <c r="I29" i="5"/>
  <c r="F8" i="5"/>
  <c r="F51" i="1"/>
  <c r="F49" i="1"/>
  <c r="E40" i="34"/>
  <c r="E48" i="34" s="1"/>
  <c r="F28" i="1"/>
  <c r="F121" i="10"/>
  <c r="I36" i="34"/>
  <c r="H36" i="34"/>
  <c r="E80" i="11"/>
  <c r="H41" i="34" l="1"/>
  <c r="I41" i="34"/>
  <c r="H35" i="10"/>
  <c r="I35" i="10"/>
  <c r="H23" i="1"/>
  <c r="I23" i="1"/>
  <c r="D50" i="1"/>
  <c r="D48" i="1"/>
  <c r="H8" i="5"/>
  <c r="I8" i="5"/>
  <c r="D65" i="34"/>
  <c r="H51" i="1"/>
  <c r="I51" i="1"/>
  <c r="F25" i="1"/>
  <c r="F62" i="1" s="1"/>
  <c r="F50" i="1"/>
  <c r="F48" i="1"/>
  <c r="D56" i="34"/>
  <c r="G28" i="1"/>
  <c r="G121" i="10"/>
  <c r="I80" i="11"/>
  <c r="B80" i="11" s="1"/>
  <c r="H80" i="11"/>
  <c r="D24" i="1"/>
  <c r="I46" i="5"/>
  <c r="H46" i="5"/>
  <c r="H37" i="10"/>
  <c r="I37" i="10"/>
  <c r="E28" i="1"/>
  <c r="E121" i="10"/>
  <c r="E48" i="1"/>
  <c r="E50" i="1"/>
  <c r="G50" i="1"/>
  <c r="G48" i="1"/>
  <c r="D28" i="1"/>
  <c r="I34" i="10"/>
  <c r="H34" i="10"/>
  <c r="D121" i="10"/>
  <c r="B329" i="6"/>
  <c r="D48" i="34"/>
  <c r="H40" i="34"/>
  <c r="I40" i="34"/>
  <c r="H49" i="1"/>
  <c r="I49" i="1"/>
  <c r="H104" i="34" l="1"/>
  <c r="H136" i="34"/>
  <c r="I140" i="34"/>
  <c r="B140" i="34" s="1"/>
  <c r="H140" i="34"/>
  <c r="E56" i="34"/>
  <c r="I104" i="34"/>
  <c r="B104" i="34" s="1"/>
  <c r="I68" i="34"/>
  <c r="B68" i="34" s="1"/>
  <c r="E133" i="34"/>
  <c r="E132" i="34" s="1"/>
  <c r="E92" i="34"/>
  <c r="E91" i="34" s="1"/>
  <c r="G133" i="34"/>
  <c r="G132" i="34" s="1"/>
  <c r="G124" i="34"/>
  <c r="G123" i="34" s="1"/>
  <c r="I62" i="34"/>
  <c r="B62" i="34" s="1"/>
  <c r="H66" i="34"/>
  <c r="F115" i="34"/>
  <c r="F114" i="34" s="1"/>
  <c r="D22" i="5"/>
  <c r="D21" i="5" s="1"/>
  <c r="I90" i="34"/>
  <c r="B90" i="34" s="1"/>
  <c r="H63" i="34"/>
  <c r="F16" i="5"/>
  <c r="F15" i="5" s="1"/>
  <c r="I77" i="34"/>
  <c r="B77" i="34" s="1"/>
  <c r="G115" i="34"/>
  <c r="G114" i="34" s="1"/>
  <c r="E101" i="34"/>
  <c r="E100" i="34" s="1"/>
  <c r="F56" i="34"/>
  <c r="F55" i="34" s="1"/>
  <c r="E115" i="34"/>
  <c r="E114" i="34" s="1"/>
  <c r="I66" i="34"/>
  <c r="B66" i="34" s="1"/>
  <c r="I71" i="34"/>
  <c r="B71" i="34" s="1"/>
  <c r="D19" i="5"/>
  <c r="I85" i="34"/>
  <c r="B85" i="34" s="1"/>
  <c r="D37" i="5"/>
  <c r="H138" i="34"/>
  <c r="I138" i="34"/>
  <c r="B138" i="34" s="1"/>
  <c r="I67" i="34"/>
  <c r="B67" i="34" s="1"/>
  <c r="I24" i="1"/>
  <c r="H24" i="1"/>
  <c r="H131" i="34"/>
  <c r="I131" i="34"/>
  <c r="B131" i="34" s="1"/>
  <c r="D64" i="34"/>
  <c r="F83" i="34"/>
  <c r="F82" i="34" s="1"/>
  <c r="H120" i="34"/>
  <c r="I120" i="34"/>
  <c r="B120" i="34" s="1"/>
  <c r="H127" i="34"/>
  <c r="I127" i="34"/>
  <c r="B127" i="34" s="1"/>
  <c r="H68" i="34"/>
  <c r="H60" i="34"/>
  <c r="I60" i="34"/>
  <c r="B60" i="34" s="1"/>
  <c r="I95" i="34"/>
  <c r="B95" i="34" s="1"/>
  <c r="H95" i="34"/>
  <c r="I48" i="1"/>
  <c r="H48" i="1"/>
  <c r="H88" i="34"/>
  <c r="I88" i="34"/>
  <c r="B88" i="34" s="1"/>
  <c r="H137" i="34"/>
  <c r="I137" i="34"/>
  <c r="B137" i="34" s="1"/>
  <c r="I139" i="34"/>
  <c r="B139" i="34" s="1"/>
  <c r="H139" i="34"/>
  <c r="E38" i="5"/>
  <c r="E22" i="5"/>
  <c r="E21" i="5" s="1"/>
  <c r="I135" i="34"/>
  <c r="B135" i="34" s="1"/>
  <c r="H135" i="34"/>
  <c r="F74" i="34"/>
  <c r="F73" i="34" s="1"/>
  <c r="H121" i="34"/>
  <c r="H118" i="34"/>
  <c r="I118" i="34"/>
  <c r="B118" i="34" s="1"/>
  <c r="I63" i="34"/>
  <c r="B63" i="34" s="1"/>
  <c r="H71" i="34"/>
  <c r="F101" i="34"/>
  <c r="F100" i="34" s="1"/>
  <c r="H122" i="34"/>
  <c r="I122" i="34"/>
  <c r="B122" i="34" s="1"/>
  <c r="I98" i="34"/>
  <c r="B98" i="34" s="1"/>
  <c r="H98" i="34"/>
  <c r="G37" i="5"/>
  <c r="G19" i="5"/>
  <c r="G18" i="5" s="1"/>
  <c r="H50" i="1"/>
  <c r="I50" i="1"/>
  <c r="H80" i="34"/>
  <c r="I80" i="34"/>
  <c r="B80" i="34" s="1"/>
  <c r="H70" i="34"/>
  <c r="I70" i="34"/>
  <c r="B70" i="34" s="1"/>
  <c r="H86" i="34"/>
  <c r="I86" i="34"/>
  <c r="B86" i="34" s="1"/>
  <c r="E124" i="34"/>
  <c r="E123" i="34" s="1"/>
  <c r="H48" i="34"/>
  <c r="I48" i="34"/>
  <c r="F19" i="5"/>
  <c r="F18" i="5" s="1"/>
  <c r="F37" i="5"/>
  <c r="E55" i="34"/>
  <c r="H96" i="34"/>
  <c r="I96" i="34"/>
  <c r="B96" i="34" s="1"/>
  <c r="H105" i="34"/>
  <c r="I105" i="34"/>
  <c r="B105" i="34" s="1"/>
  <c r="G83" i="34"/>
  <c r="G82" i="34" s="1"/>
  <c r="G25" i="1"/>
  <c r="G62" i="1" s="1"/>
  <c r="G92" i="34"/>
  <c r="G91" i="34" s="1"/>
  <c r="G65" i="34"/>
  <c r="G64" i="34" s="1"/>
  <c r="H107" i="34"/>
  <c r="I107" i="34"/>
  <c r="B107" i="34" s="1"/>
  <c r="E19" i="5"/>
  <c r="E18" i="5" s="1"/>
  <c r="E37" i="5"/>
  <c r="F124" i="34"/>
  <c r="F123" i="34" s="1"/>
  <c r="G101" i="34"/>
  <c r="G100" i="34" s="1"/>
  <c r="I130" i="34"/>
  <c r="B130" i="34" s="1"/>
  <c r="H130" i="34"/>
  <c r="G16" i="5"/>
  <c r="G15" i="5" s="1"/>
  <c r="G36" i="5"/>
  <c r="H103" i="34"/>
  <c r="I103" i="34"/>
  <c r="B103" i="34" s="1"/>
  <c r="I72" i="34"/>
  <c r="B72" i="34" s="1"/>
  <c r="H72" i="34"/>
  <c r="H106" i="34"/>
  <c r="I106" i="34"/>
  <c r="B106" i="34" s="1"/>
  <c r="D16" i="5"/>
  <c r="H58" i="34"/>
  <c r="I58" i="34"/>
  <c r="B58" i="34" s="1"/>
  <c r="I97" i="34"/>
  <c r="B97" i="34" s="1"/>
  <c r="H97" i="34"/>
  <c r="F133" i="34"/>
  <c r="F132" i="34" s="1"/>
  <c r="H77" i="34"/>
  <c r="G22" i="5"/>
  <c r="G21" i="5" s="1"/>
  <c r="G38" i="5"/>
  <c r="I94" i="34"/>
  <c r="B94" i="34" s="1"/>
  <c r="H94" i="34"/>
  <c r="H128" i="34"/>
  <c r="I128" i="34"/>
  <c r="B128" i="34" s="1"/>
  <c r="D38" i="5"/>
  <c r="I57" i="34"/>
  <c r="B57" i="34" s="1"/>
  <c r="H57" i="34"/>
  <c r="G56" i="34"/>
  <c r="I134" i="34"/>
  <c r="B134" i="34" s="1"/>
  <c r="D133" i="34"/>
  <c r="H134" i="34"/>
  <c r="E65" i="34"/>
  <c r="E64" i="34" s="1"/>
  <c r="D101" i="34"/>
  <c r="I102" i="34"/>
  <c r="B102" i="34" s="1"/>
  <c r="H102" i="34"/>
  <c r="F38" i="5"/>
  <c r="F22" i="5"/>
  <c r="F21" i="5" s="1"/>
  <c r="H79" i="34"/>
  <c r="I79" i="34"/>
  <c r="B79" i="34" s="1"/>
  <c r="D36" i="5"/>
  <c r="I87" i="34"/>
  <c r="B87" i="34" s="1"/>
  <c r="H87" i="34"/>
  <c r="I81" i="34"/>
  <c r="B81" i="34" s="1"/>
  <c r="H81" i="34"/>
  <c r="H99" i="34"/>
  <c r="I99" i="34"/>
  <c r="B99" i="34" s="1"/>
  <c r="H93" i="34"/>
  <c r="I93" i="34"/>
  <c r="B93" i="34" s="1"/>
  <c r="D92" i="34"/>
  <c r="D74" i="34"/>
  <c r="H75" i="34"/>
  <c r="I75" i="34"/>
  <c r="B75" i="34" s="1"/>
  <c r="I136" i="34"/>
  <c r="B136" i="34" s="1"/>
  <c r="I121" i="10"/>
  <c r="H121" i="10"/>
  <c r="I121" i="34"/>
  <c r="B121" i="34" s="1"/>
  <c r="H119" i="34"/>
  <c r="I119" i="34"/>
  <c r="B119" i="34" s="1"/>
  <c r="I78" i="34"/>
  <c r="B78" i="34" s="1"/>
  <c r="H78" i="34"/>
  <c r="I61" i="34"/>
  <c r="B61" i="34" s="1"/>
  <c r="E36" i="5"/>
  <c r="E16" i="5"/>
  <c r="E15" i="5" s="1"/>
  <c r="H90" i="34"/>
  <c r="F92" i="34"/>
  <c r="F91" i="34" s="1"/>
  <c r="I59" i="34"/>
  <c r="B59" i="34" s="1"/>
  <c r="H59" i="34"/>
  <c r="H28" i="1"/>
  <c r="I28" i="1"/>
  <c r="D25" i="1"/>
  <c r="H89" i="34"/>
  <c r="I89" i="34"/>
  <c r="B89" i="34" s="1"/>
  <c r="F36" i="5"/>
  <c r="H61" i="34"/>
  <c r="H125" i="34"/>
  <c r="D124" i="34"/>
  <c r="I125" i="34"/>
  <c r="B125" i="34" s="1"/>
  <c r="H84" i="34"/>
  <c r="D83" i="34"/>
  <c r="F65" i="34"/>
  <c r="F64" i="34" s="1"/>
  <c r="H76" i="34"/>
  <c r="I76" i="34"/>
  <c r="B76" i="34" s="1"/>
  <c r="I116" i="34"/>
  <c r="B116" i="34" s="1"/>
  <c r="H116" i="34"/>
  <c r="D115" i="34"/>
  <c r="I69" i="34"/>
  <c r="B69" i="34" s="1"/>
  <c r="H69" i="34"/>
  <c r="H85" i="34"/>
  <c r="H117" i="34"/>
  <c r="I117" i="34"/>
  <c r="B117" i="34" s="1"/>
  <c r="H67" i="34"/>
  <c r="I84" i="34"/>
  <c r="B84" i="34" s="1"/>
  <c r="E83" i="34"/>
  <c r="E82" i="34" s="1"/>
  <c r="E25" i="1"/>
  <c r="E62" i="1" s="1"/>
  <c r="H129" i="34"/>
  <c r="I129" i="34"/>
  <c r="B129" i="34" s="1"/>
  <c r="H108" i="34"/>
  <c r="I108" i="34"/>
  <c r="B108" i="34" s="1"/>
  <c r="H62" i="34"/>
  <c r="H126" i="34"/>
  <c r="I126" i="34"/>
  <c r="B126" i="34" s="1"/>
  <c r="E74" i="34"/>
  <c r="E73" i="34" s="1"/>
  <c r="G74" i="34"/>
  <c r="G73" i="34" s="1"/>
  <c r="D35" i="5" l="1"/>
  <c r="E19" i="19"/>
  <c r="E149" i="34"/>
  <c r="I19" i="5"/>
  <c r="F19" i="19"/>
  <c r="H37" i="5"/>
  <c r="F149" i="34"/>
  <c r="D18" i="5"/>
  <c r="I18" i="5" s="1"/>
  <c r="H25" i="1"/>
  <c r="H62" i="1" s="1"/>
  <c r="I25" i="1"/>
  <c r="D62" i="1"/>
  <c r="D82" i="34"/>
  <c r="H83" i="34"/>
  <c r="I83" i="34"/>
  <c r="B83" i="34" s="1"/>
  <c r="D73" i="34"/>
  <c r="I74" i="34"/>
  <c r="B74" i="34" s="1"/>
  <c r="H74" i="34"/>
  <c r="I38" i="5"/>
  <c r="H38" i="5"/>
  <c r="E35" i="5"/>
  <c r="E34" i="5" s="1"/>
  <c r="G149" i="34"/>
  <c r="G19" i="19"/>
  <c r="I64" i="34"/>
  <c r="H64" i="34"/>
  <c r="E13" i="5"/>
  <c r="E12" i="5" s="1"/>
  <c r="E30" i="5" s="1"/>
  <c r="I115" i="34"/>
  <c r="B115" i="34" s="1"/>
  <c r="H115" i="34"/>
  <c r="D114" i="34"/>
  <c r="F13" i="5"/>
  <c r="F12" i="5" s="1"/>
  <c r="F30" i="5" s="1"/>
  <c r="I36" i="5"/>
  <c r="H36" i="5"/>
  <c r="G55" i="34"/>
  <c r="G13" i="5"/>
  <c r="G12" i="5" s="1"/>
  <c r="G30" i="5" s="1"/>
  <c r="G35" i="5"/>
  <c r="G34" i="5" s="1"/>
  <c r="E109" i="34"/>
  <c r="H19" i="5"/>
  <c r="D91" i="34"/>
  <c r="I92" i="34"/>
  <c r="B92" i="34" s="1"/>
  <c r="H92" i="34"/>
  <c r="I65" i="34"/>
  <c r="B65" i="34" s="1"/>
  <c r="D123" i="34"/>
  <c r="I124" i="34"/>
  <c r="B124" i="34" s="1"/>
  <c r="H124" i="34"/>
  <c r="F35" i="5"/>
  <c r="F34" i="5" s="1"/>
  <c r="I101" i="34"/>
  <c r="B101" i="34" s="1"/>
  <c r="H101" i="34"/>
  <c r="D100" i="34"/>
  <c r="I37" i="5"/>
  <c r="F109" i="34"/>
  <c r="D55" i="34"/>
  <c r="D13" i="5"/>
  <c r="I56" i="34"/>
  <c r="B56" i="34" s="1"/>
  <c r="H56" i="34"/>
  <c r="H16" i="5"/>
  <c r="D15" i="5"/>
  <c r="I16" i="5"/>
  <c r="B148" i="34"/>
  <c r="B144" i="34"/>
  <c r="B145" i="34"/>
  <c r="B146" i="34"/>
  <c r="B147" i="34"/>
  <c r="B143" i="34"/>
  <c r="B142" i="34"/>
  <c r="I22" i="5"/>
  <c r="D132" i="34"/>
  <c r="H133" i="34"/>
  <c r="I133" i="34"/>
  <c r="B133" i="34" s="1"/>
  <c r="H22" i="5"/>
  <c r="H65" i="34"/>
  <c r="H21" i="5"/>
  <c r="I21" i="5"/>
  <c r="E13" i="19" l="1"/>
  <c r="G13" i="19"/>
  <c r="H18" i="5"/>
  <c r="H73" i="34"/>
  <c r="I73" i="34"/>
  <c r="I15" i="5"/>
  <c r="H15" i="5"/>
  <c r="H55" i="34"/>
  <c r="E22" i="1"/>
  <c r="E49" i="5"/>
  <c r="H114" i="34"/>
  <c r="I114" i="34"/>
  <c r="D149" i="34"/>
  <c r="D19" i="19"/>
  <c r="F22" i="1"/>
  <c r="F49" i="5"/>
  <c r="G22" i="1"/>
  <c r="G49" i="5"/>
  <c r="I62" i="1"/>
  <c r="B62" i="1" s="1" a="1"/>
  <c r="B62" i="1" s="1"/>
  <c r="I91" i="34"/>
  <c r="H91" i="34"/>
  <c r="I132" i="34"/>
  <c r="H132" i="34"/>
  <c r="G7" i="19"/>
  <c r="G109" i="34"/>
  <c r="D12" i="5"/>
  <c r="H13" i="5"/>
  <c r="I13" i="5"/>
  <c r="F7" i="19"/>
  <c r="I123" i="34"/>
  <c r="B149" i="34" s="1"/>
  <c r="H123" i="34"/>
  <c r="F13" i="19"/>
  <c r="D34" i="5"/>
  <c r="H35" i="5"/>
  <c r="I35" i="5"/>
  <c r="I82" i="34"/>
  <c r="H82" i="34"/>
  <c r="D109" i="34"/>
  <c r="I55" i="34"/>
  <c r="I100" i="34"/>
  <c r="H100" i="34"/>
  <c r="E7" i="19"/>
  <c r="I21" i="19" l="1"/>
  <c r="H21" i="19"/>
  <c r="D22" i="1"/>
  <c r="I34" i="5"/>
  <c r="D49" i="5"/>
  <c r="H34" i="5"/>
  <c r="I12" i="5"/>
  <c r="D30" i="5"/>
  <c r="H12" i="5"/>
  <c r="H9" i="19"/>
  <c r="I9" i="19"/>
  <c r="G51" i="5"/>
  <c r="I19" i="19"/>
  <c r="H19" i="19"/>
  <c r="G21" i="1"/>
  <c r="G39" i="1" s="1"/>
  <c r="I149" i="34"/>
  <c r="H149" i="34"/>
  <c r="H18" i="19"/>
  <c r="I18" i="19"/>
  <c r="D13" i="19"/>
  <c r="F51" i="5"/>
  <c r="E51" i="5"/>
  <c r="I8" i="19"/>
  <c r="E21" i="1"/>
  <c r="E39" i="1" s="1"/>
  <c r="H8" i="19"/>
  <c r="H109" i="34"/>
  <c r="I109" i="34"/>
  <c r="F21" i="1"/>
  <c r="F39" i="1" s="1"/>
  <c r="D7" i="19"/>
  <c r="G61" i="1" l="1"/>
  <c r="E55" i="1"/>
  <c r="E56" i="1"/>
  <c r="E53" i="1"/>
  <c r="E47" i="1"/>
  <c r="E52" i="1"/>
  <c r="E5" i="19"/>
  <c r="E6" i="19" s="1"/>
  <c r="E34" i="19" s="1"/>
  <c r="E42" i="19" s="1"/>
  <c r="E51" i="19" s="1"/>
  <c r="E55" i="19" s="1"/>
  <c r="E45" i="1"/>
  <c r="E41" i="1"/>
  <c r="H49" i="5"/>
  <c r="I49" i="5"/>
  <c r="D51" i="5"/>
  <c r="I7" i="19"/>
  <c r="H7" i="19"/>
  <c r="E61" i="1"/>
  <c r="F55" i="1"/>
  <c r="F5" i="19"/>
  <c r="F6" i="19" s="1"/>
  <c r="F34" i="19" s="1"/>
  <c r="F42" i="19" s="1"/>
  <c r="F51" i="19" s="1"/>
  <c r="F55" i="19" s="1"/>
  <c r="F45" i="1"/>
  <c r="F53" i="1"/>
  <c r="F56" i="1"/>
  <c r="F47" i="1"/>
  <c r="F52" i="1"/>
  <c r="F41" i="1"/>
  <c r="I22" i="1"/>
  <c r="D21" i="1"/>
  <c r="D61" i="1" s="1"/>
  <c r="H22" i="1"/>
  <c r="F61" i="1"/>
  <c r="H30" i="5"/>
  <c r="I30" i="5"/>
  <c r="B109" i="34"/>
  <c r="H13" i="19"/>
  <c r="I13" i="19"/>
  <c r="G55" i="1"/>
  <c r="G47" i="1"/>
  <c r="G5" i="19"/>
  <c r="G6" i="19" s="1"/>
  <c r="G34" i="19" s="1"/>
  <c r="G42" i="19" s="1"/>
  <c r="G51" i="19" s="1"/>
  <c r="G55" i="19" s="1"/>
  <c r="G56" i="1"/>
  <c r="G52" i="1"/>
  <c r="G45" i="1"/>
  <c r="G53" i="1"/>
  <c r="G41" i="1"/>
  <c r="H51" i="5" l="1"/>
  <c r="I51" i="5"/>
  <c r="D39" i="1"/>
  <c r="I21" i="1"/>
  <c r="H21" i="1"/>
  <c r="H61" i="1" s="1"/>
  <c r="D47" i="1" l="1"/>
  <c r="D45" i="1"/>
  <c r="D52" i="1"/>
  <c r="D55" i="1"/>
  <c r="D5" i="19"/>
  <c r="D53" i="1"/>
  <c r="H39" i="1"/>
  <c r="H41" i="1" s="1"/>
  <c r="D56" i="1"/>
  <c r="I39" i="1"/>
  <c r="D41" i="1"/>
  <c r="I61" i="1"/>
  <c r="B61" i="1" s="1" a="1"/>
  <c r="B61" i="1" s="1"/>
  <c r="I41" i="1" l="1"/>
  <c r="H53" i="1"/>
  <c r="I53" i="1"/>
  <c r="D6" i="19"/>
  <c r="H5" i="19"/>
  <c r="I5" i="19"/>
  <c r="I55" i="1"/>
  <c r="H55" i="1"/>
  <c r="I52" i="1"/>
  <c r="H52" i="1"/>
  <c r="H45" i="1"/>
  <c r="I45" i="1"/>
  <c r="H56" i="1"/>
  <c r="I56" i="1"/>
  <c r="I47" i="1"/>
  <c r="H47" i="1"/>
  <c r="D34" i="19" l="1"/>
  <c r="H6" i="19"/>
  <c r="I6" i="19"/>
  <c r="I34" i="19" l="1"/>
  <c r="D42" i="19"/>
  <c r="H34" i="19"/>
  <c r="H42" i="19" l="1"/>
  <c r="D51" i="19"/>
  <c r="I42" i="19"/>
  <c r="D55" i="19" l="1"/>
  <c r="I51" i="19"/>
  <c r="H51" i="19"/>
  <c r="H55" i="19" l="1"/>
  <c r="I55"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TAT, Jia Chieu</author>
  </authors>
  <commentList>
    <comment ref="D329" authorId="0" shapeId="0" xr:uid="{87EEFA6D-DF29-48FE-90EC-C16D72A2F1AE}">
      <text>
        <r>
          <rPr>
            <b/>
            <sz val="9"/>
            <color indexed="81"/>
            <rFont val="Tahoma"/>
            <family val="2"/>
          </rPr>
          <t xml:space="preserve">Formule corrigée pour intégrer la maintenance main d'œuvre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<sst xmlns="http://schemas.openxmlformats.org/spreadsheetml/2006/main" count="2208" uniqueCount="534">
  <si>
    <t>Onglet de référence</t>
  </si>
  <si>
    <t>Dont coûts de roulage</t>
  </si>
  <si>
    <t>Dont autres charges variables</t>
  </si>
  <si>
    <t>Dont marketing-commercial</t>
  </si>
  <si>
    <t>Dont frais de siège/frais de région</t>
  </si>
  <si>
    <t>Dont impôts et taxes</t>
  </si>
  <si>
    <t>Dont autres charges fixes</t>
  </si>
  <si>
    <t>TOTAL</t>
  </si>
  <si>
    <t>Produits financiers</t>
  </si>
  <si>
    <t>Coûts de roulage</t>
  </si>
  <si>
    <t xml:space="preserve">Charges variables de personnel </t>
  </si>
  <si>
    <t>Fournitures infrastructure bus</t>
  </si>
  <si>
    <t>Visites techniques</t>
  </si>
  <si>
    <t>Accidents et vandalismes</t>
  </si>
  <si>
    <t>…</t>
  </si>
  <si>
    <t>Bus</t>
  </si>
  <si>
    <t>Taux horaire 
non chargé</t>
  </si>
  <si>
    <t>Taux de charge</t>
  </si>
  <si>
    <t>Taux horaire 
chargé</t>
  </si>
  <si>
    <t>Personnel de conduite</t>
  </si>
  <si>
    <t>Dotation et nettoyage vêtements de travail</t>
  </si>
  <si>
    <t>Frais de formation net de remboursements OPCA</t>
  </si>
  <si>
    <t>TOTAL/MOYENNE</t>
  </si>
  <si>
    <t>Marketing-commercial</t>
  </si>
  <si>
    <t>Sponsoring Mécenat</t>
  </si>
  <si>
    <t>Insertions publicitaires</t>
  </si>
  <si>
    <t>Etudes contractuelles</t>
  </si>
  <si>
    <t>Etudes qualité de service</t>
  </si>
  <si>
    <t>Promotion du réseau</t>
  </si>
  <si>
    <t>Conquête nouveaux clients</t>
  </si>
  <si>
    <t>Signalétique</t>
  </si>
  <si>
    <t>Informations voyageurs</t>
  </si>
  <si>
    <t>Informations embarquées</t>
  </si>
  <si>
    <t>Informations temps réel</t>
  </si>
  <si>
    <t>Supports clients</t>
  </si>
  <si>
    <t>Commissions dépositaires</t>
  </si>
  <si>
    <t>Achats de billetterie</t>
  </si>
  <si>
    <t>Cadeaux</t>
  </si>
  <si>
    <t>Pourboires dons courants</t>
  </si>
  <si>
    <t>Frais de siège/frais de région</t>
  </si>
  <si>
    <t>Quote part des frais siège</t>
  </si>
  <si>
    <t>Impôts et taxes</t>
  </si>
  <si>
    <t>Cartes grises bus</t>
  </si>
  <si>
    <t>Autres charges fixes</t>
  </si>
  <si>
    <t>Documentation</t>
  </si>
  <si>
    <t>Honoraires</t>
  </si>
  <si>
    <t>Médiation réseau</t>
  </si>
  <si>
    <t>Divers transports</t>
  </si>
  <si>
    <t>Frais bancaires</t>
  </si>
  <si>
    <t>Locations diverses</t>
  </si>
  <si>
    <t>Redevances de logiciels</t>
  </si>
  <si>
    <t>Fournitures</t>
  </si>
  <si>
    <t>Assistance informatique</t>
  </si>
  <si>
    <t>Assurances RC Multirisques</t>
  </si>
  <si>
    <t>Energie Installations fixes</t>
  </si>
  <si>
    <t>Charges financières</t>
  </si>
  <si>
    <t>Personnel technique</t>
  </si>
  <si>
    <t>Personnel administratif</t>
  </si>
  <si>
    <t>Personnel commercial</t>
  </si>
  <si>
    <t>Cumul</t>
  </si>
  <si>
    <t>Recettes publicitaires</t>
  </si>
  <si>
    <t>Autres recettes annexes</t>
  </si>
  <si>
    <t>Recettes commerciales (Rc)</t>
  </si>
  <si>
    <t>Recettes annexes/accessoires (Ra)</t>
  </si>
  <si>
    <t>Exploitation Vélo</t>
  </si>
  <si>
    <t>Dépenses de carburant</t>
  </si>
  <si>
    <t>Dépenses de lubrifiant</t>
  </si>
  <si>
    <t>Dépenses de pneumatiques</t>
  </si>
  <si>
    <t>Dépenses de nettoyage intérieur</t>
  </si>
  <si>
    <t>1. Unités d'œuvre</t>
  </si>
  <si>
    <t>Dépenses de lavage extérieur</t>
  </si>
  <si>
    <t>Dépenses d'assurance</t>
  </si>
  <si>
    <t>A) Coûts de roulage</t>
  </si>
  <si>
    <t>Nombre d'ETP</t>
  </si>
  <si>
    <t>Nombre d'heures de travail annuel</t>
  </si>
  <si>
    <t>2. Charges de personnel</t>
  </si>
  <si>
    <t>Entretien et réparation infrastructure bus</t>
  </si>
  <si>
    <t>Entretien et réparation matériel de lavage</t>
  </si>
  <si>
    <t xml:space="preserve">B) Charges variables de personnel </t>
  </si>
  <si>
    <t>Coût de roulage</t>
  </si>
  <si>
    <t>Vélo</t>
  </si>
  <si>
    <t>Onglet 4</t>
  </si>
  <si>
    <t>Onglet 5</t>
  </si>
  <si>
    <t>Frais de personnel</t>
  </si>
  <si>
    <t>Cartes grises et Taxe sur les véhicules de société</t>
  </si>
  <si>
    <t>Autres impôts et taxes</t>
  </si>
  <si>
    <t>Locations immobilières et charges locatives</t>
  </si>
  <si>
    <t>Télésurveillance et gardiennage des bâtiments</t>
  </si>
  <si>
    <t>Frais postaux et Télécommunication</t>
  </si>
  <si>
    <t>Cotisations et redevances</t>
  </si>
  <si>
    <t>Voyages et déplacements</t>
  </si>
  <si>
    <t>Charges et produits divers</t>
  </si>
  <si>
    <t>Entretiens et nettoyages et réparations</t>
  </si>
  <si>
    <t>Communication interne</t>
  </si>
  <si>
    <t>Actions commerciales</t>
  </si>
  <si>
    <t xml:space="preserve">Décomposition par service
</t>
  </si>
  <si>
    <t>2. Coûts de personnel</t>
  </si>
  <si>
    <t>Taux de charge personnel fixe</t>
  </si>
  <si>
    <t>1. Coûts de la sous-traitance</t>
  </si>
  <si>
    <t>2. Recettes</t>
  </si>
  <si>
    <t xml:space="preserve">Nombres de kilomètres </t>
  </si>
  <si>
    <t>2. Coûts d'exploitation</t>
  </si>
  <si>
    <t>Nombre de véhicules 
par type de véhicule</t>
  </si>
  <si>
    <t>Répartition des kilomètres sous-traités</t>
  </si>
  <si>
    <t>Risque et aléas</t>
  </si>
  <si>
    <t>Nombre de kilomètres en ligne</t>
  </si>
  <si>
    <t>Nombre de kilomètres haut le pied</t>
  </si>
  <si>
    <t>Nombre de kilomètres techniques</t>
  </si>
  <si>
    <t>2. Compte d'exploitation prévisionnel</t>
  </si>
  <si>
    <t>Compte d'exploitation prévisionnel - option obligatoire TAD - Proxibus</t>
  </si>
  <si>
    <t>Compte d'exploitation prévisionnel - option obligatoire TAD - Allobus</t>
  </si>
  <si>
    <t>RESULTAT FINANCIER</t>
  </si>
  <si>
    <t>RESULTAT D'EXPLOITATION</t>
  </si>
  <si>
    <t>Dotations aux amortissements des biens</t>
  </si>
  <si>
    <t>Charges sociales</t>
  </si>
  <si>
    <t>Salaires</t>
  </si>
  <si>
    <t>CET</t>
  </si>
  <si>
    <t>Charges fiscales assises sur salaires</t>
  </si>
  <si>
    <t>Autres charges services extérieurs</t>
  </si>
  <si>
    <t>Affranchissements/téléphone/réseaux informatique</t>
  </si>
  <si>
    <t>Frais et commissions bancaires</t>
  </si>
  <si>
    <t>Voyages et déplacements/missions et réceptions</t>
  </si>
  <si>
    <t>Publicité-opérations promotionnelles</t>
  </si>
  <si>
    <t>Frais de siège (assistance technique)</t>
  </si>
  <si>
    <t>Personnel mis à disposition</t>
  </si>
  <si>
    <t>Personnel intérimaire</t>
  </si>
  <si>
    <t>Autres services extérieurs</t>
  </si>
  <si>
    <t>Assurance Indemnisation des tiers</t>
  </si>
  <si>
    <t>Assurances flotte automobile</t>
  </si>
  <si>
    <t>Assurances dommages aux biens</t>
  </si>
  <si>
    <t>Entretien réparations matériel de transport</t>
  </si>
  <si>
    <t>Entretien réparations des biens</t>
  </si>
  <si>
    <t>Sous-traitance ligne de bus</t>
  </si>
  <si>
    <t>Locations</t>
  </si>
  <si>
    <t>Autres Achats</t>
  </si>
  <si>
    <t>Pièces de rechanges stockées</t>
  </si>
  <si>
    <t>Carburants et lubrifiants</t>
  </si>
  <si>
    <t>Forfait de charges</t>
  </si>
  <si>
    <t>TOTAL DU CHIFFRE D'AFFAIRES</t>
  </si>
  <si>
    <t>60 Achats</t>
  </si>
  <si>
    <t>Fluides: Électricité / Gaz / Eau / Fuel</t>
  </si>
  <si>
    <t>Pièces détachées non stockées</t>
  </si>
  <si>
    <t>64 Charges de personnel (hors charges fiscales)</t>
  </si>
  <si>
    <t>75 Produits divers de gestion</t>
  </si>
  <si>
    <t>65 Charges diverses de gestion</t>
  </si>
  <si>
    <t>Reprise de provisions</t>
  </si>
  <si>
    <t>68 Dotations aux amortissements et provisions</t>
  </si>
  <si>
    <t>66 Charges financières</t>
  </si>
  <si>
    <t>76 Produits Financiers</t>
  </si>
  <si>
    <t>Soldes Intermédiaires de Gestion</t>
  </si>
  <si>
    <t>61 Services extérieurs</t>
  </si>
  <si>
    <t>62 Autres services extérieurs</t>
  </si>
  <si>
    <t>VALEUR AJOUTÉE</t>
  </si>
  <si>
    <t>63 Impôts et taxes</t>
  </si>
  <si>
    <t>Dotations aux provisions pour charges retraite</t>
  </si>
  <si>
    <t>Dotations aux provisions pour risques et charges</t>
  </si>
  <si>
    <t>Dotations aux provisions pour dépréciation</t>
  </si>
  <si>
    <t>RESULTAT COURANT AVANT IMPÔT</t>
  </si>
  <si>
    <t>Nombre de véhicules</t>
  </si>
  <si>
    <t>Charges fixes</t>
  </si>
  <si>
    <t>Personnel fixe</t>
  </si>
  <si>
    <t xml:space="preserve">Personnel technique </t>
  </si>
  <si>
    <t>Dont charges fixes de personnel</t>
  </si>
  <si>
    <t xml:space="preserve">Dont charges variables de personnel </t>
  </si>
  <si>
    <t>Onglet 3</t>
  </si>
  <si>
    <t>Onglet 3a</t>
  </si>
  <si>
    <t>Onglet 3b</t>
  </si>
  <si>
    <t>Onglet 3c</t>
  </si>
  <si>
    <t>Compte d'exploitation prévisionnel
Tranche conditionnelle : Gestion des abris vélos</t>
  </si>
  <si>
    <t>Nombre de kilomètres</t>
  </si>
  <si>
    <t xml:space="preserve">Kilomètres commerciaux </t>
  </si>
  <si>
    <t>Participation et intéressement des salariés</t>
  </si>
  <si>
    <t>Dont amortissements</t>
  </si>
  <si>
    <t>Durée d'amortissement</t>
  </si>
  <si>
    <t>Dotations aux amortissements</t>
  </si>
  <si>
    <t>Date d'achat</t>
  </si>
  <si>
    <t>Gros Entretien et Renouvellement</t>
  </si>
  <si>
    <t>Charges de personnel fixe</t>
  </si>
  <si>
    <t>Dont Gros Entretien Renouvellement</t>
  </si>
  <si>
    <t>Compte d'exploitation prévisionnel
Tranche conditionnelle : Ouverture d'un service du vélo à Béthune</t>
  </si>
  <si>
    <t>Charges de sous-traitance</t>
  </si>
  <si>
    <t>TOTAL DU COÛT DE LA SOUS-TRAITANCE</t>
  </si>
  <si>
    <t>Dépenses d'entretien pièces</t>
  </si>
  <si>
    <t>Dépenses d'entretien MO</t>
  </si>
  <si>
    <t>Cout horaire 
non chargé</t>
  </si>
  <si>
    <t>Taux de charges sur le personnel de conduite</t>
  </si>
  <si>
    <t>Nombre d'ETP de conduite</t>
  </si>
  <si>
    <t>Frais liés au personnel</t>
  </si>
  <si>
    <t>Dépenses de personnel de conduite</t>
  </si>
  <si>
    <t>Infrastructures fixes</t>
  </si>
  <si>
    <t>Valeur d'achat</t>
  </si>
  <si>
    <t>Quote part des frais région</t>
  </si>
  <si>
    <t>Dont marge et aléas</t>
  </si>
  <si>
    <t>Charges variables (Cv)</t>
  </si>
  <si>
    <t>FORFAIT DE CHARGES (FC)</t>
  </si>
  <si>
    <t>Charges fixes (Cf)</t>
  </si>
  <si>
    <t>Charges de sous-traitance (Cst)</t>
  </si>
  <si>
    <t>OBJECTIF DE RECETTES (OR)</t>
  </si>
  <si>
    <t>Taux de marge (marge / forfait de charges)</t>
  </si>
  <si>
    <t xml:space="preserve"> Dépenses d'entretien  (à préciser)</t>
  </si>
  <si>
    <t>Dépenses d'entretien</t>
  </si>
  <si>
    <t>Marge et aléas</t>
  </si>
  <si>
    <t>Marge</t>
  </si>
  <si>
    <t>TOTAL OBJECTIF DE RECETTES</t>
  </si>
  <si>
    <t>TOTAL FORFAIT DE CHARGES</t>
  </si>
  <si>
    <t>Charges variables</t>
  </si>
  <si>
    <t>Programme GER</t>
  </si>
  <si>
    <t>Forfait 1/2 journée</t>
  </si>
  <si>
    <t>Forfait 1 journée</t>
  </si>
  <si>
    <t>Forfait 1 semaine</t>
  </si>
  <si>
    <t>Forfait 1 mois</t>
  </si>
  <si>
    <t>Forfait 3 mois</t>
  </si>
  <si>
    <t>Tous publics</t>
  </si>
  <si>
    <t>Tarif réduit (abonnés TADAO et abonnés PASS PASS TER)</t>
  </si>
  <si>
    <t>Forfait siège enfant ½ journée</t>
  </si>
  <si>
    <t>Vélos de ville</t>
  </si>
  <si>
    <t>Recettes titres vélo</t>
  </si>
  <si>
    <t>2. Dépenses de roulage par type de véhicule</t>
  </si>
  <si>
    <t>Unités d'œuvre vélo</t>
  </si>
  <si>
    <t>Nombre de vélos en service</t>
  </si>
  <si>
    <t>Désignation de l'ouvrage/équipement</t>
  </si>
  <si>
    <t>Dotation annuelle aux amortissements par ouvrage/équipement</t>
  </si>
  <si>
    <t>Valeur résiduelle fin de contrat</t>
  </si>
  <si>
    <t>BILAN ACTIF</t>
  </si>
  <si>
    <t>Immobilisations incorporelles</t>
  </si>
  <si>
    <t>Immobilisations corporelles</t>
  </si>
  <si>
    <t>Immobilisations financières</t>
  </si>
  <si>
    <t>ACTIF NET IMMOBILISE</t>
  </si>
  <si>
    <t>Stocks</t>
  </si>
  <si>
    <t>Trésorerie</t>
  </si>
  <si>
    <t>ACTIF CIRCULANT</t>
  </si>
  <si>
    <t>TOTAL ACTIF</t>
  </si>
  <si>
    <t>BILAN PASSIF</t>
  </si>
  <si>
    <t xml:space="preserve">Capital social </t>
  </si>
  <si>
    <t>Réserves</t>
  </si>
  <si>
    <t>Report à nouveau</t>
  </si>
  <si>
    <t>Résultat de l'exercice</t>
  </si>
  <si>
    <t>CAPITAUX PROPRES</t>
  </si>
  <si>
    <t>Provisions pour risques et charges</t>
  </si>
  <si>
    <t>PROVISIONS</t>
  </si>
  <si>
    <t>Emprunts bancaires</t>
  </si>
  <si>
    <t>DETTES FINANCIERES</t>
  </si>
  <si>
    <t>Dettes fiscales et sociales</t>
  </si>
  <si>
    <t>PASSIF CIRCULANT</t>
  </si>
  <si>
    <t>TOTAL PASSIF</t>
  </si>
  <si>
    <t>FONDS DE ROULEMENT</t>
  </si>
  <si>
    <t>BESOIN EN FONDS DE ROULEMENT</t>
  </si>
  <si>
    <t>TRÉSORERIE</t>
  </si>
  <si>
    <t>Autres actifs</t>
  </si>
  <si>
    <t>Autre dettes d'exploitation</t>
  </si>
  <si>
    <t>Dettes fournisseurs</t>
  </si>
  <si>
    <t>Créances clients</t>
  </si>
  <si>
    <t>Créances sur le groupe</t>
  </si>
  <si>
    <t>Comptes courants d'associés / dette groupe</t>
  </si>
  <si>
    <t>Emprunts et dettes financières divers</t>
  </si>
  <si>
    <t>Programmation pluriannuelle des investissements du délégataire</t>
  </si>
  <si>
    <t>Moyenne annuelle</t>
  </si>
  <si>
    <t>Minibus</t>
  </si>
  <si>
    <t>Bus standard</t>
  </si>
  <si>
    <t>Midibus</t>
  </si>
  <si>
    <t>Numérique et innovation</t>
  </si>
  <si>
    <t>Direction Clients</t>
  </si>
  <si>
    <t>Pôle commercial</t>
  </si>
  <si>
    <t>Pôle qualité</t>
  </si>
  <si>
    <t>Pôle marketing</t>
  </si>
  <si>
    <t>Pôle Ressources Humaines</t>
  </si>
  <si>
    <t>Direction</t>
  </si>
  <si>
    <t>Pôle Finances</t>
  </si>
  <si>
    <t>Pôle systèmes d'information</t>
  </si>
  <si>
    <t>Pôle Ingéniérie Sécurité Environnement</t>
  </si>
  <si>
    <t>Pôle PCC &amp; circulation</t>
  </si>
  <si>
    <t>Pôle Prévention Ambiance Sûreté Fraude</t>
  </si>
  <si>
    <t>Pôle Exploitation</t>
  </si>
  <si>
    <t>Pôle Maintenance patrimoine</t>
  </si>
  <si>
    <t>Conducteur receveur</t>
  </si>
  <si>
    <t>Dont infrastructures fixes</t>
  </si>
  <si>
    <t>Pièces détachées</t>
  </si>
  <si>
    <t>Agent titulaire</t>
  </si>
  <si>
    <t xml:space="preserve">Agent d'accueil Insertion </t>
  </si>
  <si>
    <t>Nettoyage, atelier</t>
  </si>
  <si>
    <t>Moyenne 2017-2018</t>
  </si>
  <si>
    <t>Moyenne 2019-2023</t>
  </si>
  <si>
    <t>Nombre de kilomètres en propre</t>
  </si>
  <si>
    <t>Kilomètres commerciaux</t>
  </si>
  <si>
    <t>Kilomètres haut le pied</t>
  </si>
  <si>
    <t>Kilomètres techniques</t>
  </si>
  <si>
    <t>Véhicules de service</t>
  </si>
  <si>
    <t>Onglet 3d</t>
  </si>
  <si>
    <t>Autres charges variables</t>
  </si>
  <si>
    <t>Flechage des charges et formules indexation</t>
  </si>
  <si>
    <t>Formules et indices de revision</t>
  </si>
  <si>
    <t>Nombre de kilomètres par an</t>
  </si>
  <si>
    <t>Nombre d'heures de conduite</t>
  </si>
  <si>
    <t>Formule CV Indice G</t>
  </si>
  <si>
    <t>Formule CV Indice S (1+C)</t>
  </si>
  <si>
    <t>Formule CV Indice R</t>
  </si>
  <si>
    <t>Formule Cst Indice S (1+C)</t>
  </si>
  <si>
    <t>Formule Cst Indice R</t>
  </si>
  <si>
    <t>Formule Cst indice M et partie fixe</t>
  </si>
  <si>
    <t>Formule Cst Indice FG</t>
  </si>
  <si>
    <t>Formule Cst Indices G et R</t>
  </si>
  <si>
    <t>Formule Cf Indice ING</t>
  </si>
  <si>
    <t>Formule Cf Partie fixe</t>
  </si>
  <si>
    <t>Formule Cf Indice FG</t>
  </si>
  <si>
    <t>Formule Cf Indice S (1+C)</t>
  </si>
  <si>
    <t>Formule CV Indices G, R et S (1+C)</t>
  </si>
  <si>
    <t>Formule Cst</t>
  </si>
  <si>
    <t>Contribution foncière des entreprises (CFE)</t>
  </si>
  <si>
    <t>Cotisation sur la Valeur Ajoutée des Entreprises (CVAE)</t>
  </si>
  <si>
    <t>Vélos à assistance électrique</t>
  </si>
  <si>
    <r>
      <t>Offre de base - Détails des charges de sous-traitance pour</t>
    </r>
    <r>
      <rPr>
        <b/>
        <u/>
        <sz val="10"/>
        <color theme="7"/>
        <rFont val="Calibri"/>
        <family val="2"/>
      </rPr>
      <t xml:space="preserve"> Autobus Artésiens </t>
    </r>
    <r>
      <rPr>
        <b/>
        <sz val="10"/>
        <color theme="7"/>
        <rFont val="Calibri"/>
        <family val="2"/>
      </rPr>
      <t>en € HT</t>
    </r>
  </si>
  <si>
    <r>
      <t>Offre de base - Détails des charges de sous-traitance pour</t>
    </r>
    <r>
      <rPr>
        <b/>
        <u/>
        <sz val="10"/>
        <color theme="7"/>
        <rFont val="Calibri"/>
        <family val="2"/>
      </rPr>
      <t xml:space="preserve"> Littoral Nord Autocars </t>
    </r>
    <r>
      <rPr>
        <b/>
        <sz val="10"/>
        <color theme="7"/>
        <rFont val="Calibri"/>
        <family val="2"/>
      </rPr>
      <t>en € HT</t>
    </r>
  </si>
  <si>
    <t>Offre de base :
Bilan prévisionnel en €</t>
  </si>
  <si>
    <t>Dépenses de carburant (déduction faite de taxes récupérées)</t>
  </si>
  <si>
    <t>etp</t>
  </si>
  <si>
    <t>Pôle Allobus</t>
  </si>
  <si>
    <t>Allobus</t>
  </si>
  <si>
    <t xml:space="preserve">Lavage nettoyage bus </t>
  </si>
  <si>
    <t>Recettes de publicité (Rp)</t>
  </si>
  <si>
    <t>Offre de base :
Compte d'exploitation prévisionnel en € HT juin 2022</t>
  </si>
  <si>
    <t>Offre de base : 
Recettes  en € HT juin 2022</t>
  </si>
  <si>
    <t xml:space="preserve">Tarifs </t>
  </si>
  <si>
    <t>Onglet 2</t>
  </si>
  <si>
    <t>Recettes commerciales en € HT juin 2022</t>
  </si>
  <si>
    <t>Formules et indices de révision</t>
  </si>
  <si>
    <t>TOTAL RECETTES COMMERCIALES</t>
  </si>
  <si>
    <t>Recettes publicitaires en € HT juin 2022</t>
  </si>
  <si>
    <t>TOTAL RECETTES PUBLICITAIRES</t>
  </si>
  <si>
    <t>TOTAL RECETTES ANNEXES</t>
  </si>
  <si>
    <t>Recettes annexes en € HT juin 2022</t>
  </si>
  <si>
    <t>Offre de base : 
Synthèse des charges variables en € HT juin 2022</t>
  </si>
  <si>
    <t>TOTAL KM PROPRE</t>
  </si>
  <si>
    <t>TOTAL VEHICULES</t>
  </si>
  <si>
    <t>Nombre de kilomètres en propre
par type de véhicule</t>
  </si>
  <si>
    <t>Kilomètres haut-le-pied</t>
  </si>
  <si>
    <t>Coûts liés aux kilomètres</t>
  </si>
  <si>
    <t>Coût / km total</t>
  </si>
  <si>
    <t>Coûts liés aux véhicules</t>
  </si>
  <si>
    <t>Coût / véhicule</t>
  </si>
  <si>
    <t>TOTAL ETP CONDUITE</t>
  </si>
  <si>
    <t>TOTAL DEPENSES PERSONNEL DE CONDUITE</t>
  </si>
  <si>
    <t>Offre de base :
Décomposition des charges variables Vélo en € HT juin 2022</t>
  </si>
  <si>
    <t>Offre de base 
Décomposition des charges variables vehicules de service en € HT juin 2022</t>
  </si>
  <si>
    <t>Coût / vélo</t>
  </si>
  <si>
    <t>Coûts variables liés aux véhicules de service</t>
  </si>
  <si>
    <t>Offre de base 
Décomposition des charges variables par véhicule en € HT juin 2022</t>
  </si>
  <si>
    <t>Offre de base 
Décomposition des charges variables par service en € HT juin 2022</t>
  </si>
  <si>
    <t>Lignes régulières</t>
  </si>
  <si>
    <t>Lignes Bulles</t>
  </si>
  <si>
    <t>Lignes principales</t>
  </si>
  <si>
    <t>Lignes complémentaires</t>
  </si>
  <si>
    <t>Proxibus</t>
  </si>
  <si>
    <t>Nombre de véhicules 
par service</t>
  </si>
  <si>
    <t>Nombre de kilomètres en propre
par service</t>
  </si>
  <si>
    <t>Exploitation lignes régulières</t>
  </si>
  <si>
    <t>Exploitation Allobus</t>
  </si>
  <si>
    <t>Exploitation Proxibus</t>
  </si>
  <si>
    <t>Décomposition par poste</t>
  </si>
  <si>
    <t>Autres dépenses</t>
  </si>
  <si>
    <t>Autres dépenses (à préciser)</t>
  </si>
  <si>
    <t>Offre de base :
Charges fixes en € HT juin 2022</t>
  </si>
  <si>
    <t>onglet 4c</t>
  </si>
  <si>
    <t>onglet 4b</t>
  </si>
  <si>
    <t>onglet 4a</t>
  </si>
  <si>
    <t>TOTAL ENGAGEMENT FREQUENTATION</t>
  </si>
  <si>
    <t>TOTAL FREQUENTATION</t>
  </si>
  <si>
    <t>Nombre de validations
par service</t>
  </si>
  <si>
    <t>ENGAGEMENT DE FREQUENTATION (EF)</t>
  </si>
  <si>
    <t>Pôle Proxibus</t>
  </si>
  <si>
    <t>Coût / ETP</t>
  </si>
  <si>
    <t>Offre de base
Charges de personnel fixe en € HT juin 2022</t>
  </si>
  <si>
    <t>TOTAL DOTATION AMORTISSEMENTS</t>
  </si>
  <si>
    <t>TOTAL GER</t>
  </si>
  <si>
    <t>Programme de Gros Entretien Renouvellement en € HT juin 2022</t>
  </si>
  <si>
    <t>Sous-traitance Allobus</t>
  </si>
  <si>
    <t>Nb de véhicules Lignes régulières</t>
  </si>
  <si>
    <t>Nb de véhicules Circuits scolaires</t>
  </si>
  <si>
    <t>Nb de véhicules Allobus</t>
  </si>
  <si>
    <t>Km commerciaux Allobus</t>
  </si>
  <si>
    <t>Km commerciaux Circuits scolaires</t>
  </si>
  <si>
    <t>Km commerciaux Proxibus</t>
  </si>
  <si>
    <t>Nb de véhicules Proxibus</t>
  </si>
  <si>
    <t>Sous-traitance Proxibus</t>
  </si>
  <si>
    <t>TOTAL SOUS-TRAITANCE</t>
  </si>
  <si>
    <t>Dont charges variables</t>
  </si>
  <si>
    <t>Dont charges variables de personnel</t>
  </si>
  <si>
    <t>Dont charges fixes</t>
  </si>
  <si>
    <t>Offre de base :
Compte de résultat format SIG en € HT juin 2022</t>
  </si>
  <si>
    <t>RATIOS DE PERFORMANCE</t>
  </si>
  <si>
    <t>Recettes / Dépenses (R/D)</t>
  </si>
  <si>
    <t>Recettes / Validations (R/V)</t>
  </si>
  <si>
    <t>VERIFS</t>
  </si>
  <si>
    <t>Dépenses / Validations (D/V)</t>
  </si>
  <si>
    <t xml:space="preserve">Candidat : </t>
  </si>
  <si>
    <t xml:space="preserve">Notice d'utilisation : </t>
  </si>
  <si>
    <t>Cellule verte = à compléter</t>
  </si>
  <si>
    <t>Autre ou aucune couleur = formules, à ne pas compléter</t>
  </si>
  <si>
    <t>Date de valeur € HT :</t>
  </si>
  <si>
    <t>Juin 2022</t>
  </si>
  <si>
    <r>
      <rPr>
        <sz val="10"/>
        <color theme="1"/>
        <rFont val="Calibri"/>
        <family val="2"/>
        <scheme val="minor"/>
      </rPr>
      <t xml:space="preserve">7.CEP en format SIG : </t>
    </r>
    <r>
      <rPr>
        <sz val="10"/>
        <rFont val="Calibri"/>
        <family val="2"/>
        <scheme val="minor"/>
      </rPr>
      <t>le candidat complète les charges et produits permettant de constituer les soldes intermédiaires de gestion (SIG).</t>
    </r>
  </si>
  <si>
    <t>CONTRAT DE DELEGATION DE SERVICE PUBLIC DE TRANSPORT URBAIN DE VOYAGEUR</t>
  </si>
  <si>
    <t>Km commerciaux Lignes régulières</t>
  </si>
  <si>
    <t>Dont aléas</t>
  </si>
  <si>
    <t>Dont marge</t>
  </si>
  <si>
    <t>Coût / km</t>
  </si>
  <si>
    <t>Contrôleur</t>
  </si>
  <si>
    <t>Médiateur</t>
  </si>
  <si>
    <t>Nb heures de contrôle</t>
  </si>
  <si>
    <t>Nb heures de médiation</t>
  </si>
  <si>
    <t>Taux de charges sur le personnel</t>
  </si>
  <si>
    <t>Nombre d'heures</t>
  </si>
  <si>
    <t>Dépenses de personnel</t>
  </si>
  <si>
    <t>TOTAL ETP</t>
  </si>
  <si>
    <t>TOTAL DEPENSES VARIABLES PERSONNEL</t>
  </si>
  <si>
    <t>Année 1</t>
  </si>
  <si>
    <t>Dépenses / Km totaux en propre (D/K)</t>
  </si>
  <si>
    <t>Gestion abris vélos sécurisés</t>
  </si>
  <si>
    <t>Nb heures de conduite commerciale BHNS</t>
  </si>
  <si>
    <t>Nb heures de conduite commerciale Bus</t>
  </si>
  <si>
    <r>
      <rPr>
        <sz val="10"/>
        <color theme="1"/>
        <rFont val="Calibri"/>
        <family val="2"/>
        <scheme val="minor"/>
      </rPr>
      <t xml:space="preserve">4a : </t>
    </r>
    <r>
      <rPr>
        <sz val="10"/>
        <rFont val="Calibri"/>
        <family val="2"/>
        <scheme val="minor"/>
      </rPr>
      <t>décomposition des charges variables bus par type de véhicule.</t>
    </r>
  </si>
  <si>
    <r>
      <rPr>
        <sz val="10"/>
        <color theme="1"/>
        <rFont val="Calibri"/>
        <family val="2"/>
        <scheme val="minor"/>
      </rPr>
      <t xml:space="preserve">4b : </t>
    </r>
    <r>
      <rPr>
        <sz val="10"/>
        <rFont val="Calibri"/>
        <family val="2"/>
        <scheme val="minor"/>
      </rPr>
      <t>décomposition des charges variables par service.</t>
    </r>
  </si>
  <si>
    <r>
      <rPr>
        <sz val="10"/>
        <color theme="1"/>
        <rFont val="Calibri"/>
        <family val="2"/>
        <scheme val="minor"/>
      </rPr>
      <t xml:space="preserve">4c : </t>
    </r>
    <r>
      <rPr>
        <sz val="10"/>
        <rFont val="Calibri"/>
        <family val="2"/>
        <scheme val="minor"/>
      </rPr>
      <t>décomposition des charges variables vélo.</t>
    </r>
  </si>
  <si>
    <r>
      <rPr>
        <sz val="10"/>
        <color theme="1"/>
        <rFont val="Calibri"/>
        <family val="2"/>
        <scheme val="minor"/>
      </rPr>
      <t xml:space="preserve">4d : </t>
    </r>
    <r>
      <rPr>
        <sz val="10"/>
        <rFont val="Calibri"/>
        <family val="2"/>
        <scheme val="minor"/>
      </rPr>
      <t>décomposition des charges variables véhicules de service.</t>
    </r>
  </si>
  <si>
    <r>
      <rPr>
        <sz val="10"/>
        <color theme="1"/>
        <rFont val="Calibri"/>
        <family val="2"/>
        <scheme val="minor"/>
      </rPr>
      <t xml:space="preserve">5a : </t>
    </r>
    <r>
      <rPr>
        <sz val="10"/>
        <rFont val="Calibri"/>
        <family val="2"/>
        <scheme val="minor"/>
      </rPr>
      <t>détail des charges de personnel fixe.</t>
    </r>
  </si>
  <si>
    <r>
      <rPr>
        <sz val="10"/>
        <color theme="1"/>
        <rFont val="Calibri"/>
        <family val="2"/>
        <scheme val="minor"/>
      </rPr>
      <t xml:space="preserve">5b : </t>
    </r>
    <r>
      <rPr>
        <sz val="10"/>
        <rFont val="Calibri"/>
        <family val="2"/>
        <scheme val="minor"/>
      </rPr>
      <t>détail du programme pluri-annuel d'investissements (PPI) et des dotations aux amortissements. Le candidat complète le type d'investissements et les informations associées.</t>
    </r>
  </si>
  <si>
    <r>
      <rPr>
        <sz val="10"/>
        <color theme="1"/>
        <rFont val="Calibri"/>
        <family val="2"/>
        <scheme val="minor"/>
      </rPr>
      <t xml:space="preserve">5c : </t>
    </r>
    <r>
      <rPr>
        <sz val="10"/>
        <rFont val="Calibri"/>
        <family val="2"/>
        <scheme val="minor"/>
      </rPr>
      <t>détail du programme de gros entretien et renouvellement (GER) et des dotations aux amortissements. Le candidat complète le type de renouvellements et les informations associées.</t>
    </r>
  </si>
  <si>
    <t>Dépenses d'entretien sous-traité</t>
  </si>
  <si>
    <t>Formule CV Indice S</t>
  </si>
  <si>
    <t>Nb heures de conduite totales BHNS</t>
  </si>
  <si>
    <t>Nb heures de conduite totales Bus</t>
  </si>
  <si>
    <t>Vehicule de société</t>
  </si>
  <si>
    <t>2. Dépenses de roulage en €</t>
  </si>
  <si>
    <t>Formule Cf Indice S</t>
  </si>
  <si>
    <t>Formule Cst Indice S</t>
  </si>
  <si>
    <t>CONSOLIDATION des sous-traitants</t>
  </si>
  <si>
    <t>Sous-traitant 1</t>
  </si>
  <si>
    <t>Sous-traitant 2</t>
  </si>
  <si>
    <t>Sous-traitant 3</t>
  </si>
  <si>
    <t>Sous-traitant 4</t>
  </si>
  <si>
    <t>Offre de base - Charges de sous-traitance en € HT juin 2022</t>
  </si>
  <si>
    <r>
      <rPr>
        <sz val="10"/>
        <color theme="1"/>
        <rFont val="Calibri"/>
        <family val="2"/>
        <scheme val="minor"/>
      </rPr>
      <t xml:space="preserve">6.SousTraitance : </t>
    </r>
    <r>
      <rPr>
        <sz val="10"/>
        <rFont val="Calibri"/>
        <family val="2"/>
        <scheme val="minor"/>
      </rPr>
      <t>charges sous-traitées. Le candidat remplit les coûts de chaque sous-traitant et la consolidation.</t>
    </r>
  </si>
  <si>
    <t>Mise en œuvre de la gratuité</t>
  </si>
  <si>
    <t>A compléter par le candidat</t>
  </si>
  <si>
    <t>Dont mise en œuvre de la gratuité</t>
  </si>
  <si>
    <t>EXCEDENT BRUT D'EXPLOITATION</t>
  </si>
  <si>
    <t>Entretien réparations voirie</t>
  </si>
  <si>
    <t>Lignes Duo</t>
  </si>
  <si>
    <t>Navette</t>
  </si>
  <si>
    <t>Chronopro</t>
  </si>
  <si>
    <t>Exploitation Chronopro</t>
  </si>
  <si>
    <t>Pôle Chronopro</t>
  </si>
  <si>
    <t>Km commerciaux Chronopro</t>
  </si>
  <si>
    <t>Nb de véhicules Chronopro</t>
  </si>
  <si>
    <t>Sous-traitance Chronopro</t>
  </si>
  <si>
    <t>Dépenses / Km totaux (D/K)</t>
  </si>
  <si>
    <t>Validations / Km totaux (V/K)</t>
  </si>
  <si>
    <t>Dépenses / Km totaux sous-traités (D/K)</t>
  </si>
  <si>
    <t>Dépenses / Km commerciaux (D/K)</t>
  </si>
  <si>
    <t>Dépenses / Km commerciaux en propre (D/K)</t>
  </si>
  <si>
    <t>Dépenses / Km commerciaux sous-traités (D/K)</t>
  </si>
  <si>
    <t>Validations / Km commerciaux (V/K)</t>
  </si>
  <si>
    <t>Recettes commerciales / Km totaux (R/K)</t>
  </si>
  <si>
    <t>Recettes commerciales / Km commerciaux (R/K)</t>
  </si>
  <si>
    <t>Diesel</t>
  </si>
  <si>
    <t>Hybride</t>
  </si>
  <si>
    <t>Hydrogène</t>
  </si>
  <si>
    <t>Electrique</t>
  </si>
  <si>
    <t>Bus articulé</t>
  </si>
  <si>
    <t>Autocar</t>
  </si>
  <si>
    <r>
      <rPr>
        <sz val="10"/>
        <color theme="1"/>
        <rFont val="Calibri"/>
        <family val="2"/>
        <scheme val="minor"/>
      </rPr>
      <t xml:space="preserve">3.Recettes : </t>
    </r>
    <r>
      <rPr>
        <sz val="10"/>
        <rFont val="Calibri"/>
        <family val="2"/>
        <scheme val="minor"/>
      </rPr>
      <t>engagements du candidat en termes de fréquentation et de recettes vélo.</t>
    </r>
  </si>
  <si>
    <t>Année 0</t>
  </si>
  <si>
    <t>Année 2</t>
  </si>
  <si>
    <t>Année 3</t>
  </si>
  <si>
    <r>
      <t>Ce fichier comporte plusieurs onglets. Dans le cadre de son offre,</t>
    </r>
    <r>
      <rPr>
        <b/>
        <sz val="10"/>
        <color theme="1"/>
        <rFont val="Calibri"/>
        <family val="2"/>
        <scheme val="minor"/>
      </rPr>
      <t xml:space="preserve"> le candidat doit renseigner les cellules vertes de tous les onglets verts. Les intitulés et les formules ne sont pas modifiés.
</t>
    </r>
    <r>
      <rPr>
        <b/>
        <sz val="10"/>
        <rFont val="Calibri"/>
        <family val="2"/>
        <scheme val="minor"/>
      </rPr>
      <t>L'année 0 correspond à l'année précédant la mise en place effective de la gratuité (année de mise en oeuvre)</t>
    </r>
    <r>
      <rPr>
        <sz val="10"/>
        <rFont val="Calibri"/>
        <family val="2"/>
        <scheme val="minor"/>
      </rPr>
      <t>. Le candidat ne renseigne que la partie des charges fixes liées à la mise en oeuvre de la gratuité (les autres charges sont déjà intégrées dans l'annexe 4.1) car cette annexe sera en supplément de l'annexe 4.1 pour l'année 0.</t>
    </r>
    <r>
      <rPr>
        <b/>
        <sz val="10"/>
        <rFont val="Calibri"/>
        <family val="2"/>
        <scheme val="minor"/>
      </rPr>
      <t xml:space="preserve">
L'année 1 correspond à la première année de gratuité effective.</t>
    </r>
    <r>
      <rPr>
        <sz val="10"/>
        <rFont val="Calibri"/>
        <family val="2"/>
        <scheme val="minor"/>
      </rPr>
      <t xml:space="preserve"> Pour cette année et les suivantes, le candidat renseigne tous les éléments d'exploitation en année gratuité (y compris les éléments qui sont identiques à l'annexe 4.1) car cette annexe viendra en remplacement de l'annexe 4.1 pour les années 1 à 3.</t>
    </r>
  </si>
  <si>
    <r>
      <rPr>
        <sz val="10"/>
        <color theme="1"/>
        <rFont val="Calibri"/>
        <family val="2"/>
        <scheme val="minor"/>
      </rPr>
      <t xml:space="preserve">5.Charges fixes : </t>
    </r>
    <r>
      <rPr>
        <sz val="10"/>
        <rFont val="Calibri"/>
        <family val="2"/>
        <scheme val="minor"/>
      </rPr>
      <t>charges fixes du candidat (si un poste ne constitue pas une charge fixe dans l'offre du candidat, ce dernier peut inscrire 0 sur la ligne concernée). Pour les charges liées à la mise en œuvre de la gratuité, il s'agit des charges de l'année précédant la mise en place de la gratuité, elles doivent donc être intégrées sur l'année 0. La décomposition de ces charges est à la discrétion du candidat.</t>
    </r>
  </si>
  <si>
    <t>Transdev Artois Gohelle</t>
  </si>
  <si>
    <t>Année 4</t>
  </si>
  <si>
    <t>Sous-traitant 6</t>
  </si>
  <si>
    <t>Sous-traitant 5</t>
  </si>
  <si>
    <t>Sous-traitant 7</t>
  </si>
  <si>
    <t/>
  </si>
  <si>
    <t>Renouvellement batteries</t>
  </si>
  <si>
    <t>TVA non déductible et Taxe foncière</t>
  </si>
  <si>
    <t>Equipement personnel de conduite</t>
  </si>
  <si>
    <t>Equipement personnel d'atelier</t>
  </si>
  <si>
    <t>Informatique</t>
  </si>
  <si>
    <t>Formation</t>
  </si>
  <si>
    <t>Forfait 6 mois</t>
  </si>
  <si>
    <t>Forfait 9 mois</t>
  </si>
  <si>
    <t>Vélos cargo</t>
  </si>
  <si>
    <t>Trottinettes</t>
  </si>
  <si>
    <t>Accessoires</t>
  </si>
  <si>
    <t>Remorque</t>
  </si>
  <si>
    <t>Campagne de lancement marketing-communication</t>
  </si>
  <si>
    <t>Support juridique et fiscal et accompagnement changement</t>
  </si>
  <si>
    <t>Entretien Abris vélo</t>
  </si>
  <si>
    <t>Lignes Scolaires</t>
  </si>
  <si>
    <t>Véhicule utilitaire</t>
  </si>
  <si>
    <t>Emports à vélos</t>
  </si>
  <si>
    <t>Conseil (Finance, Audit, Juridique)</t>
  </si>
  <si>
    <t>Comptabilité et paie (EAP)</t>
  </si>
  <si>
    <t>Honoraires liés au personnel (recrutement, médecine du travail, prud'hommes)</t>
  </si>
  <si>
    <t>Nettoyage des bâtiments et installations</t>
  </si>
  <si>
    <t>Entretien des espaces verts</t>
  </si>
  <si>
    <t>Entretien des sanitaires</t>
  </si>
  <si>
    <t>Camion nacelle</t>
  </si>
  <si>
    <t>Nacelle (dépôt de Houdain)</t>
  </si>
  <si>
    <t>Jeux de 6 colonnes (dépôt de Hénin)</t>
  </si>
  <si>
    <t>Camion de dépannage 2026</t>
  </si>
  <si>
    <t>Camion de dépannage 2028</t>
  </si>
  <si>
    <t>Services vélos</t>
  </si>
  <si>
    <t>Véhicule utilitaire Vélos</t>
  </si>
  <si>
    <t>Batteries VAE (30) et trottinettes (5)</t>
  </si>
  <si>
    <t>Compte d'exploitation prévisionnel
Option Captain Bike - Ruitz</t>
  </si>
  <si>
    <t>Compte d'exploitation prévisionnel
Option Captain Bike - Delta 3</t>
  </si>
  <si>
    <t>Renouvellement des équipements et amélioration 3
 (Enveloppe annuelle pour renouvellement des équipements atelier)</t>
  </si>
  <si>
    <t>Renouvellement des équipements et amélioration 4
 (Enveloppe annuelle pour renouvellement des équipements atelier)</t>
  </si>
  <si>
    <t>Renouvellement des équipements et amélioration 5
 (Enveloppe annuelle pour renouvellement des équipements atelier)</t>
  </si>
  <si>
    <t>Renouvellement des équipements et amélioration 6
 (Enveloppe annuelle pour renouvellement des équipements atelier)</t>
  </si>
  <si>
    <t>Infrastructures 2026 
(Socle de virtualisation, renouvellement des switchs d'accès, renouvellement des PDU, postes de travail bureautiques et industriels, centre d'appel)</t>
  </si>
  <si>
    <t>Infrastructures 2027 (renouvellement infrastructure cœur de réseau, aménagement salles serveurs, postes de travail bureautique &amp; industriels)</t>
  </si>
  <si>
    <t>Infrastructures 2028 (Renouvellement postes de travail bureautiqueset industriels)</t>
  </si>
  <si>
    <t>Infrastructures 2029  (Renouvellement postes de travail bureautiqueset industriels)</t>
  </si>
  <si>
    <t>Renouvellement des équipements et amélioration 1
 (Enveloppe annuelle pour renouvellement des équipements atelier)</t>
  </si>
  <si>
    <t>Renouvellement des équipements et amélioration 2
 (Enveloppe annuelle pour renouvellement des équipements atelier)</t>
  </si>
  <si>
    <t>Infrastructures 2024 (Socle de virtualisation, aménagement salles serveur, 
infrastructure cœur réseau, Wifi à bord, renouvellement wifi en station, 
postes de travail bureautique et industriel, centre d'appel)</t>
  </si>
  <si>
    <t>Infrastructures 2025 (Socle de virtualisation, aménagement salles serveur
, routeurs wifi véhicules et stations,  postes de travail bureautique et industriel,renouvellement borne conducteur connecté)</t>
  </si>
  <si>
    <t>Camion de dépannage 2024 - renouvellmement des camions de dépannage atelier</t>
  </si>
  <si>
    <t>Système d'information voyageur 2024 - Site internet et investissements associés</t>
  </si>
  <si>
    <t>Système d'information voyageur 2025 - Site internet et investissements associés</t>
  </si>
  <si>
    <t>Année 5</t>
  </si>
  <si>
    <t>Année 6</t>
  </si>
  <si>
    <t>Compte d'exploitation prévisionnel
Option emports</t>
  </si>
  <si>
    <t>Compte d'exploitation prévisionnel
Option Trottinette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</si>
</sst>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quot;€&quot;#,##0_);\(&quot;€&quot;#,##0\)"/>
    <numFmt numFmtId="165" formatCode="&quot;€&quot;#,##0.00_);\(&quot;€&quot;#,##0.00\)"/>
    <numFmt numFmtId="166" formatCode="_(&quot;€&quot;* #,##0.00_);_(&quot;€&quot;* \(#,##0.00\);_(&quot;€&quot;* &quot;-&quot;??_);_(@_)"/>
    <numFmt numFmtId="167" formatCode="_-* #,##0.00\ _€_-;\-* #,##0.00\ _€_-;_-* &quot;-&quot;??\ _€_-;_-@_-"/>
    <numFmt numFmtId="168" formatCode="0.0000"/>
    <numFmt numFmtId="169" formatCode="0.000"/>
    <numFmt numFmtId="170" formatCode="0.0%"/>
    <numFmt numFmtId="171" formatCode="#,##0.00\ &quot;€&quot;"/>
    <numFmt numFmtId="172" formatCode="0&quot; mois&quot;"/>
    <numFmt numFmtId="173" formatCode="_-* #,##0\ _€_-;\-* #,##0\ _€_-;_-* &quot;-&quot;??\ _€_-;_-@_-"/>
    <numFmt numFmtId="174" formatCode="#,##0_ ;\-#,##0\ "/>
    <numFmt numFmtId="175" formatCode="#,##0.0"/>
    <numFmt numFmtId="176" formatCode="_-* #,##0.000\ _€_-;\-* #,##0.000\ _€_-;_-* &quot;-&quot;??\ _€_-;_-@_-"/>
    <numFmt numFmtId="177" formatCode="#,##0.000"/>
    <numFmt numFmtId="178" formatCode="_-* #,##0\ [$€-40C]_-;\-* #,##0\ [$€-40C]_-;_-* &quot;-&quot;??\ [$€-40C]_-;_-@_-"/>
    <numFmt numFmtId="179" formatCode="0.000%"/>
  </numFmts>
  <fonts count="59" x14ac:knownFonts="1">
    <font>
      <sz val="11"/>
      <color indexed="8"/>
      <name val="Calibri"/>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0"/>
      <name val="Arial"/>
      <family val="2"/>
    </font>
    <font>
      <sz val="11"/>
      <color indexed="20"/>
      <name val="Calibri"/>
      <family val="2"/>
    </font>
    <font>
      <sz val="10"/>
      <name val="Arial"/>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8"/>
      <name val="Calibri"/>
      <family val="2"/>
    </font>
    <font>
      <b/>
      <sz val="10"/>
      <color indexed="8"/>
      <name val="Calibri"/>
      <family val="2"/>
    </font>
    <font>
      <sz val="10"/>
      <color indexed="8"/>
      <name val="Calibri"/>
      <family val="2"/>
    </font>
    <font>
      <b/>
      <sz val="10"/>
      <color theme="0"/>
      <name val="Calibri"/>
      <family val="2"/>
    </font>
    <font>
      <sz val="10"/>
      <color theme="0"/>
      <name val="Calibri"/>
      <family val="2"/>
    </font>
    <font>
      <b/>
      <sz val="10"/>
      <color indexed="9"/>
      <name val="Calibri"/>
      <family val="2"/>
    </font>
    <font>
      <b/>
      <sz val="10"/>
      <color theme="7"/>
      <name val="Calibri"/>
      <family val="2"/>
    </font>
    <font>
      <sz val="10"/>
      <color indexed="9"/>
      <name val="Calibri"/>
      <family val="2"/>
    </font>
    <font>
      <sz val="10"/>
      <color theme="7"/>
      <name val="Calibri"/>
      <family val="2"/>
    </font>
    <font>
      <sz val="10"/>
      <name val="Calibri"/>
      <family val="2"/>
    </font>
    <font>
      <b/>
      <sz val="10"/>
      <name val="Calibri"/>
      <family val="2"/>
    </font>
    <font>
      <sz val="10"/>
      <name val="Calibri"/>
      <family val="2"/>
      <scheme val="minor"/>
    </font>
    <font>
      <b/>
      <sz val="10"/>
      <color theme="0"/>
      <name val="Calibri"/>
      <family val="2"/>
      <scheme val="minor"/>
    </font>
    <font>
      <b/>
      <sz val="10"/>
      <name val="Calibri"/>
      <family val="2"/>
      <scheme val="minor"/>
    </font>
    <font>
      <sz val="12"/>
      <name val="Calibri"/>
      <family val="2"/>
      <scheme val="minor"/>
    </font>
    <font>
      <sz val="10"/>
      <color rgb="FFFF0000"/>
      <name val="Calibri"/>
      <family val="2"/>
      <scheme val="minor"/>
    </font>
    <font>
      <sz val="10"/>
      <color theme="7"/>
      <name val="Calibri"/>
      <family val="2"/>
      <scheme val="minor"/>
    </font>
    <font>
      <b/>
      <u/>
      <sz val="10"/>
      <color theme="7"/>
      <name val="Calibri"/>
      <family val="2"/>
    </font>
    <font>
      <b/>
      <i/>
      <sz val="14"/>
      <name val="Arial"/>
      <family val="2"/>
    </font>
    <font>
      <b/>
      <sz val="10"/>
      <color theme="3" tint="-0.499984740745262"/>
      <name val="Calibri"/>
      <family val="2"/>
    </font>
    <font>
      <sz val="10"/>
      <color rgb="FFFF0000"/>
      <name val="Calibri"/>
      <family val="2"/>
    </font>
    <font>
      <b/>
      <sz val="10"/>
      <color rgb="FFFF0000"/>
      <name val="Calibri"/>
      <family val="2"/>
    </font>
    <font>
      <b/>
      <sz val="10"/>
      <color theme="5"/>
      <name val="Calibri"/>
      <family val="2"/>
    </font>
    <font>
      <sz val="11"/>
      <name val="Calibri"/>
      <family val="2"/>
    </font>
    <font>
      <b/>
      <sz val="11"/>
      <color theme="7"/>
      <name val="Calibri"/>
      <family val="2"/>
    </font>
    <font>
      <b/>
      <sz val="10"/>
      <color theme="0" tint="-0.34998626667073579"/>
      <name val="Calibri"/>
      <family val="2"/>
    </font>
    <font>
      <b/>
      <sz val="10"/>
      <color theme="1"/>
      <name val="Calibri"/>
      <family val="2"/>
      <scheme val="minor"/>
    </font>
    <font>
      <b/>
      <u/>
      <sz val="10"/>
      <color theme="1"/>
      <name val="Calibri"/>
      <family val="2"/>
      <scheme val="minor"/>
    </font>
    <font>
      <b/>
      <sz val="10"/>
      <color rgb="FF00B050"/>
      <name val="Calibri"/>
      <family val="2"/>
      <scheme val="minor"/>
    </font>
    <font>
      <b/>
      <sz val="10"/>
      <color rgb="FFFF0000"/>
      <name val="Calibri"/>
      <family val="2"/>
      <scheme val="minor"/>
    </font>
    <font>
      <b/>
      <sz val="12"/>
      <color theme="7"/>
      <name val="Calibri"/>
      <family val="2"/>
      <scheme val="minor"/>
    </font>
    <font>
      <sz val="10"/>
      <color theme="1"/>
      <name val="Calibri"/>
      <family val="2"/>
      <scheme val="minor"/>
    </font>
    <font>
      <i/>
      <sz val="10"/>
      <color indexed="8"/>
      <name val="Calibri"/>
      <family val="2"/>
    </font>
    <font>
      <sz val="10"/>
      <color theme="6"/>
      <name val="Calibri"/>
      <family val="2"/>
    </font>
    <font>
      <i/>
      <sz val="10"/>
      <name val="Calibri"/>
      <family val="2"/>
    </font>
    <font>
      <b/>
      <sz val="10"/>
      <color theme="6" tint="-0.249977111117893"/>
      <name val="Calibri"/>
      <family val="2"/>
    </font>
    <font>
      <b/>
      <sz val="10"/>
      <color theme="8" tint="0.59999389629810485"/>
      <name val="Calibri"/>
      <family val="2"/>
    </font>
    <font>
      <b/>
      <sz val="9"/>
      <color indexed="81"/>
      <name val="Tahoma"/>
      <family val="2"/>
    </font>
    <font>
      <sz val="10"/>
      <color rgb="FF000000"/>
      <name val="Calibri"/>
      <family val="2"/>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7" tint="0.79998168889431442"/>
        <bgColor indexed="64"/>
      </patternFill>
    </fill>
    <fill>
      <patternFill patternType="solid">
        <fgColor theme="7"/>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2"/>
        <bgColor indexed="64"/>
      </patternFill>
    </fill>
    <fill>
      <patternFill patternType="mediumGray">
        <bgColor theme="2" tint="-9.9978637043366805E-2"/>
      </patternFill>
    </fill>
    <fill>
      <patternFill patternType="mediumGray">
        <bgColor theme="8" tint="0.79998168889431442"/>
      </patternFill>
    </fill>
    <fill>
      <patternFill patternType="solid">
        <fgColor theme="8" tint="0.79995117038483843"/>
        <bgColor indexed="64"/>
      </patternFill>
    </fill>
    <fill>
      <patternFill patternType="mediumGray">
        <bgColor theme="9" tint="0.79998168889431442"/>
      </patternFill>
    </fill>
    <fill>
      <patternFill patternType="mediumGray">
        <bgColor theme="7" tint="0.79998168889431442"/>
      </patternFill>
    </fill>
    <fill>
      <patternFill patternType="mediumGray"/>
    </fill>
    <fill>
      <patternFill patternType="mediumGray">
        <bgColor theme="9" tint="0.79995117038483843"/>
      </patternFill>
    </fill>
    <fill>
      <patternFill patternType="mediumGray">
        <bgColor theme="0" tint="-4.9989318521683403E-2"/>
      </patternFill>
    </fill>
    <fill>
      <patternFill patternType="solid">
        <fgColor theme="8" tint="0.59999389629810485"/>
        <bgColor indexed="64"/>
      </patternFill>
    </fill>
    <fill>
      <patternFill patternType="darkGray">
        <bgColor theme="7" tint="0.79995117038483843"/>
      </patternFill>
    </fill>
    <fill>
      <patternFill patternType="solid">
        <fgColor rgb="FFFFBE77"/>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4"/>
        <bgColor indexed="64"/>
      </patternFill>
    </fill>
    <fill>
      <patternFill patternType="solid">
        <fgColor rgb="FFFFC000"/>
        <bgColor indexed="64"/>
      </patternFill>
    </fill>
    <fill>
      <patternFill patternType="mediumGray">
        <bgColor theme="4"/>
      </patternFill>
    </fill>
    <fill>
      <patternFill patternType="solid">
        <fgColor theme="3" tint="0.39997558519241921"/>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left>
      <right style="thin">
        <color theme="7"/>
      </right>
      <top style="thin">
        <color theme="7"/>
      </top>
      <bottom/>
      <diagonal/>
    </border>
    <border>
      <left style="thin">
        <color theme="7"/>
      </left>
      <right style="thin">
        <color theme="7"/>
      </right>
      <top/>
      <bottom/>
      <diagonal/>
    </border>
    <border>
      <left style="thin">
        <color theme="7"/>
      </left>
      <right style="thin">
        <color theme="7"/>
      </right>
      <top style="thin">
        <color indexed="64"/>
      </top>
      <bottom style="thin">
        <color theme="7"/>
      </bottom>
      <diagonal/>
    </border>
    <border>
      <left style="thin">
        <color indexed="64"/>
      </left>
      <right style="thin">
        <color indexed="64"/>
      </right>
      <top style="thin">
        <color indexed="64"/>
      </top>
      <bottom style="thin">
        <color theme="7"/>
      </bottom>
      <diagonal/>
    </border>
    <border>
      <left style="thin">
        <color indexed="64"/>
      </left>
      <right style="thin">
        <color indexed="64"/>
      </right>
      <top style="thin">
        <color theme="7"/>
      </top>
      <bottom/>
      <diagonal/>
    </border>
    <border>
      <left style="thin">
        <color auto="1"/>
      </left>
      <right/>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s>
  <cellStyleXfs count="5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xf numFmtId="0" fontId="4" fillId="20" borderId="1" applyNumberFormat="0" applyAlignment="0" applyProtection="0"/>
    <xf numFmtId="0" fontId="5" fillId="0" borderId="2" applyNumberFormat="0" applyFill="0" applyAlignment="0" applyProtection="0"/>
    <xf numFmtId="0" fontId="1" fillId="21" borderId="3" applyNumberFormat="0" applyFont="0" applyAlignment="0" applyProtection="0"/>
    <xf numFmtId="0" fontId="6" fillId="7" borderId="1" applyNumberFormat="0" applyAlignment="0" applyProtection="0"/>
    <xf numFmtId="166" fontId="7" fillId="0" borderId="0" applyFont="0" applyFill="0" applyBorder="0" applyAlignment="0" applyProtection="0"/>
    <xf numFmtId="0" fontId="8" fillId="3" borderId="0" applyNumberFormat="0" applyBorder="0" applyAlignment="0" applyProtection="0"/>
    <xf numFmtId="170" fontId="9"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0" fontId="10" fillId="22" borderId="0" applyNumberFormat="0" applyBorder="0" applyAlignment="0" applyProtection="0"/>
    <xf numFmtId="0" fontId="1" fillId="0" borderId="0"/>
    <xf numFmtId="9" fontId="1" fillId="0" borderId="0" applyFont="0" applyFill="0" applyBorder="0" applyAlignment="0" applyProtection="0"/>
    <xf numFmtId="9" fontId="9" fillId="0" borderId="0" applyFont="0" applyFill="0" applyBorder="0" applyAlignment="0" applyProtection="0"/>
    <xf numFmtId="0" fontId="11" fillId="4" borderId="0" applyNumberFormat="0" applyBorder="0" applyAlignment="0" applyProtection="0"/>
    <xf numFmtId="0" fontId="12" fillId="20"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23" borderId="9" applyNumberFormat="0" applyAlignment="0" applyProtection="0"/>
    <xf numFmtId="0" fontId="7" fillId="0" borderId="0"/>
    <xf numFmtId="167" fontId="7" fillId="0" borderId="0" applyFont="0" applyFill="0" applyBorder="0" applyAlignment="0" applyProtection="0"/>
    <xf numFmtId="167" fontId="1" fillId="0" borderId="0" applyFont="0" applyFill="0" applyBorder="0" applyAlignment="0" applyProtection="0"/>
    <xf numFmtId="0" fontId="1" fillId="0" borderId="0"/>
  </cellStyleXfs>
  <cellXfs count="697">
    <xf numFmtId="0" fontId="0" fillId="0" borderId="0" xfId="0"/>
    <xf numFmtId="0" fontId="27" fillId="0" borderId="0" xfId="0" applyFont="1"/>
    <xf numFmtId="0" fontId="22" fillId="0" borderId="0" xfId="0" applyFont="1"/>
    <xf numFmtId="0" fontId="25" fillId="25" borderId="21" xfId="0" applyFont="1" applyFill="1" applyBorder="1" applyAlignment="1">
      <alignment horizontal="center" vertical="center"/>
    </xf>
    <xf numFmtId="0" fontId="25" fillId="25" borderId="17" xfId="0" applyFont="1" applyFill="1" applyBorder="1" applyAlignment="1">
      <alignment horizontal="center" vertical="center"/>
    </xf>
    <xf numFmtId="0" fontId="21" fillId="0" borderId="0" xfId="0" applyFont="1"/>
    <xf numFmtId="3" fontId="21" fillId="0" borderId="0" xfId="0" applyNumberFormat="1" applyFont="1"/>
    <xf numFmtId="0" fontId="22" fillId="0" borderId="14" xfId="0" applyFont="1" applyBorder="1"/>
    <xf numFmtId="0" fontId="22" fillId="26" borderId="17" xfId="0" applyFont="1" applyFill="1" applyBorder="1" applyAlignment="1">
      <alignment horizontal="center" vertical="center" wrapText="1"/>
    </xf>
    <xf numFmtId="3" fontId="22" fillId="0" borderId="21" xfId="0" applyNumberFormat="1" applyFont="1" applyBorder="1" applyAlignment="1">
      <alignment horizontal="center" vertical="center"/>
    </xf>
    <xf numFmtId="3" fontId="22" fillId="24" borderId="17" xfId="0" applyNumberFormat="1" applyFont="1" applyFill="1" applyBorder="1" applyAlignment="1">
      <alignment horizontal="center" vertical="center"/>
    </xf>
    <xf numFmtId="3" fontId="22" fillId="0" borderId="0" xfId="0" applyNumberFormat="1" applyFont="1"/>
    <xf numFmtId="0" fontId="22" fillId="26" borderId="12" xfId="0" applyFont="1" applyFill="1" applyBorder="1" applyAlignment="1">
      <alignment horizontal="center" vertical="center" wrapText="1"/>
    </xf>
    <xf numFmtId="3" fontId="22" fillId="0" borderId="0" xfId="0" applyNumberFormat="1" applyFont="1" applyAlignment="1">
      <alignment horizontal="center" vertical="center"/>
    </xf>
    <xf numFmtId="3" fontId="22" fillId="24" borderId="12" xfId="0" applyNumberFormat="1" applyFont="1" applyFill="1" applyBorder="1" applyAlignment="1">
      <alignment horizontal="center" vertical="center"/>
    </xf>
    <xf numFmtId="0" fontId="22" fillId="26" borderId="18" xfId="0" applyFont="1" applyFill="1" applyBorder="1" applyAlignment="1">
      <alignment horizontal="center" vertical="center" wrapText="1"/>
    </xf>
    <xf numFmtId="3" fontId="22" fillId="24" borderId="18" xfId="0" applyNumberFormat="1" applyFont="1" applyFill="1" applyBorder="1" applyAlignment="1">
      <alignment horizontal="center" vertical="center"/>
    </xf>
    <xf numFmtId="0" fontId="22" fillId="0" borderId="0" xfId="0" applyFont="1" applyAlignment="1">
      <alignment horizontal="center" vertical="center" wrapText="1"/>
    </xf>
    <xf numFmtId="0" fontId="21" fillId="24" borderId="16" xfId="0" applyFont="1" applyFill="1" applyBorder="1"/>
    <xf numFmtId="3" fontId="21" fillId="24" borderId="19" xfId="0" applyNumberFormat="1" applyFont="1" applyFill="1" applyBorder="1" applyAlignment="1">
      <alignment horizontal="center" vertical="center"/>
    </xf>
    <xf numFmtId="3" fontId="21" fillId="24" borderId="24" xfId="0" applyNumberFormat="1" applyFont="1" applyFill="1" applyBorder="1" applyAlignment="1">
      <alignment horizontal="center" vertical="center"/>
    </xf>
    <xf numFmtId="0" fontId="26" fillId="28" borderId="16" xfId="0" applyFont="1" applyFill="1" applyBorder="1"/>
    <xf numFmtId="0" fontId="26" fillId="28" borderId="30" xfId="0" applyFont="1" applyFill="1" applyBorder="1" applyAlignment="1">
      <alignment horizontal="center" vertical="center" wrapText="1"/>
    </xf>
    <xf numFmtId="3" fontId="26" fillId="28" borderId="19" xfId="0" applyNumberFormat="1" applyFont="1" applyFill="1" applyBorder="1" applyAlignment="1">
      <alignment horizontal="center" vertical="center"/>
    </xf>
    <xf numFmtId="3" fontId="26" fillId="28" borderId="24" xfId="0" applyNumberFormat="1" applyFont="1" applyFill="1" applyBorder="1" applyAlignment="1">
      <alignment horizontal="center" vertical="center"/>
    </xf>
    <xf numFmtId="0" fontId="22" fillId="0" borderId="10" xfId="0" applyFont="1" applyBorder="1" applyAlignment="1">
      <alignment horizontal="left" indent="1"/>
    </xf>
    <xf numFmtId="0" fontId="22" fillId="26" borderId="29" xfId="0" applyFont="1" applyFill="1" applyBorder="1" applyAlignment="1">
      <alignment horizontal="center" vertical="center" wrapText="1"/>
    </xf>
    <xf numFmtId="0" fontId="22" fillId="26" borderId="28" xfId="0" applyFont="1" applyFill="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left"/>
    </xf>
    <xf numFmtId="0" fontId="22" fillId="0" borderId="12" xfId="0" applyFont="1" applyBorder="1"/>
    <xf numFmtId="4" fontId="22" fillId="0" borderId="0" xfId="0" applyNumberFormat="1" applyFont="1"/>
    <xf numFmtId="0" fontId="22" fillId="0" borderId="14" xfId="0" applyFont="1" applyBorder="1" applyAlignment="1">
      <alignment horizontal="left" indent="1"/>
    </xf>
    <xf numFmtId="0" fontId="22" fillId="0" borderId="10" xfId="0" applyFont="1" applyBorder="1" applyAlignment="1">
      <alignment horizontal="left" vertical="center" indent="1"/>
    </xf>
    <xf numFmtId="0" fontId="21" fillId="24" borderId="24" xfId="0" applyFont="1" applyFill="1" applyBorder="1" applyAlignment="1">
      <alignment horizontal="center"/>
    </xf>
    <xf numFmtId="3" fontId="21" fillId="24" borderId="20" xfId="0" applyNumberFormat="1" applyFont="1" applyFill="1" applyBorder="1" applyAlignment="1">
      <alignment horizontal="center" vertical="center"/>
    </xf>
    <xf numFmtId="0" fontId="22" fillId="0" borderId="12" xfId="0" applyFont="1" applyBorder="1" applyAlignment="1">
      <alignment horizontal="left" indent="1"/>
    </xf>
    <xf numFmtId="165" fontId="22" fillId="26" borderId="12" xfId="33" applyNumberFormat="1" applyFont="1" applyFill="1" applyBorder="1" applyAlignment="1">
      <alignment horizontal="center"/>
    </xf>
    <xf numFmtId="3" fontId="22" fillId="0" borderId="11" xfId="0" applyNumberFormat="1" applyFont="1" applyBorder="1" applyAlignment="1">
      <alignment horizontal="center"/>
    </xf>
    <xf numFmtId="3" fontId="22" fillId="24" borderId="11" xfId="0" applyNumberFormat="1" applyFont="1" applyFill="1" applyBorder="1" applyAlignment="1">
      <alignment horizontal="center"/>
    </xf>
    <xf numFmtId="168" fontId="22" fillId="0" borderId="0" xfId="0" applyNumberFormat="1" applyFont="1"/>
    <xf numFmtId="0" fontId="22" fillId="0" borderId="12" xfId="0" applyFont="1" applyBorder="1" applyAlignment="1">
      <alignment horizontal="left"/>
    </xf>
    <xf numFmtId="0" fontId="21" fillId="26" borderId="0" xfId="0" applyFont="1" applyFill="1"/>
    <xf numFmtId="168" fontId="21" fillId="26" borderId="0" xfId="0" applyNumberFormat="1" applyFont="1" applyFill="1"/>
    <xf numFmtId="3" fontId="21" fillId="26" borderId="0" xfId="0" applyNumberFormat="1" applyFont="1" applyFill="1"/>
    <xf numFmtId="0" fontId="25" fillId="25" borderId="24" xfId="0" applyFont="1" applyFill="1" applyBorder="1" applyAlignment="1">
      <alignment horizontal="center" vertical="center"/>
    </xf>
    <xf numFmtId="165" fontId="23" fillId="25" borderId="16" xfId="33" applyNumberFormat="1" applyFont="1" applyFill="1" applyBorder="1" applyAlignment="1">
      <alignment horizontal="center" vertical="center" wrapText="1"/>
    </xf>
    <xf numFmtId="0" fontId="25" fillId="25" borderId="24" xfId="0" applyFont="1" applyFill="1" applyBorder="1" applyAlignment="1">
      <alignment horizontal="center" vertical="center" wrapText="1"/>
    </xf>
    <xf numFmtId="2" fontId="22" fillId="0" borderId="0" xfId="0" applyNumberFormat="1" applyFont="1"/>
    <xf numFmtId="0" fontId="22" fillId="0" borderId="0" xfId="0" applyFont="1" applyAlignment="1">
      <alignment horizontal="left" indent="1"/>
    </xf>
    <xf numFmtId="0" fontId="26" fillId="28" borderId="16" xfId="0" applyFont="1" applyFill="1" applyBorder="1" applyAlignment="1">
      <alignment horizontal="left" vertical="center"/>
    </xf>
    <xf numFmtId="165" fontId="26" fillId="28" borderId="17" xfId="33" applyNumberFormat="1" applyFont="1" applyFill="1" applyBorder="1" applyAlignment="1">
      <alignment horizontal="center" vertical="center" wrapText="1"/>
    </xf>
    <xf numFmtId="0" fontId="22" fillId="0" borderId="15" xfId="0" applyFont="1" applyBorder="1" applyAlignment="1">
      <alignment horizontal="left" indent="1"/>
    </xf>
    <xf numFmtId="165" fontId="26" fillId="28" borderId="24" xfId="33" applyNumberFormat="1" applyFont="1" applyFill="1" applyBorder="1" applyAlignment="1">
      <alignment horizontal="center" vertical="center" wrapText="1"/>
    </xf>
    <xf numFmtId="3" fontId="28" fillId="28" borderId="24" xfId="0" applyNumberFormat="1" applyFont="1" applyFill="1" applyBorder="1" applyAlignment="1">
      <alignment horizontal="center"/>
    </xf>
    <xf numFmtId="0" fontId="22" fillId="26" borderId="12" xfId="0" applyFont="1" applyFill="1" applyBorder="1" applyAlignment="1">
      <alignment horizontal="left"/>
    </xf>
    <xf numFmtId="3" fontId="22" fillId="24" borderId="12" xfId="0" applyNumberFormat="1" applyFont="1" applyFill="1" applyBorder="1" applyAlignment="1">
      <alignment horizontal="center" wrapText="1"/>
    </xf>
    <xf numFmtId="0" fontId="21" fillId="24" borderId="24" xfId="0" applyFont="1" applyFill="1" applyBorder="1" applyAlignment="1">
      <alignment horizontal="center" vertical="center" wrapText="1"/>
    </xf>
    <xf numFmtId="169" fontId="22" fillId="0" borderId="0" xfId="0" applyNumberFormat="1" applyFont="1"/>
    <xf numFmtId="0" fontId="22" fillId="0" borderId="18" xfId="0" applyFont="1" applyBorder="1" applyAlignment="1">
      <alignment horizontal="left" indent="1"/>
    </xf>
    <xf numFmtId="3" fontId="21" fillId="24" borderId="16" xfId="0" applyNumberFormat="1" applyFont="1" applyFill="1" applyBorder="1" applyAlignment="1">
      <alignment horizontal="center" vertical="center"/>
    </xf>
    <xf numFmtId="0" fontId="22" fillId="0" borderId="10" xfId="0" applyFont="1" applyBorder="1"/>
    <xf numFmtId="3" fontId="21" fillId="26" borderId="24" xfId="0" applyNumberFormat="1" applyFont="1" applyFill="1" applyBorder="1" applyAlignment="1">
      <alignment horizontal="center" vertical="center"/>
    </xf>
    <xf numFmtId="0" fontId="23" fillId="25" borderId="17" xfId="0" applyFont="1" applyFill="1" applyBorder="1" applyAlignment="1">
      <alignment horizontal="center" vertical="center"/>
    </xf>
    <xf numFmtId="0" fontId="22" fillId="0" borderId="0" xfId="0" applyFont="1" applyAlignment="1">
      <alignment horizontal="center"/>
    </xf>
    <xf numFmtId="0" fontId="21" fillId="0" borderId="12" xfId="0" applyFont="1" applyBorder="1"/>
    <xf numFmtId="0" fontId="23" fillId="25" borderId="21" xfId="0" applyFont="1" applyFill="1" applyBorder="1" applyAlignment="1">
      <alignment horizontal="center" vertical="center" wrapText="1"/>
    </xf>
    <xf numFmtId="0" fontId="23" fillId="25" borderId="22" xfId="0" applyFont="1" applyFill="1" applyBorder="1" applyAlignment="1">
      <alignment horizontal="center" vertical="center" wrapText="1"/>
    </xf>
    <xf numFmtId="0" fontId="21" fillId="24" borderId="19" xfId="0" applyFont="1" applyFill="1" applyBorder="1" applyAlignment="1">
      <alignment horizontal="center" vertical="center" wrapText="1"/>
    </xf>
    <xf numFmtId="3" fontId="22" fillId="0" borderId="12" xfId="0" applyNumberFormat="1" applyFont="1" applyBorder="1" applyAlignment="1">
      <alignment horizontal="center" vertical="center"/>
    </xf>
    <xf numFmtId="3" fontId="21" fillId="26" borderId="17" xfId="0" applyNumberFormat="1" applyFont="1" applyFill="1" applyBorder="1" applyAlignment="1">
      <alignment horizontal="center" vertical="center"/>
    </xf>
    <xf numFmtId="3" fontId="22" fillId="26" borderId="12" xfId="0" applyNumberFormat="1" applyFont="1" applyFill="1" applyBorder="1" applyAlignment="1">
      <alignment horizontal="center" vertical="center"/>
    </xf>
    <xf numFmtId="3" fontId="21" fillId="26" borderId="12" xfId="0" applyNumberFormat="1" applyFont="1" applyFill="1" applyBorder="1" applyAlignment="1">
      <alignment horizontal="center" vertical="center"/>
    </xf>
    <xf numFmtId="3" fontId="21" fillId="0" borderId="17" xfId="0" applyNumberFormat="1" applyFont="1" applyBorder="1" applyAlignment="1">
      <alignment horizontal="center" vertical="center"/>
    </xf>
    <xf numFmtId="3" fontId="21" fillId="0" borderId="12" xfId="0" applyNumberFormat="1" applyFont="1" applyBorder="1" applyAlignment="1">
      <alignment horizontal="center" vertical="center"/>
    </xf>
    <xf numFmtId="3" fontId="22" fillId="0" borderId="12" xfId="0" applyNumberFormat="1" applyFont="1" applyBorder="1" applyAlignment="1">
      <alignment horizontal="left" vertical="center" indent="1"/>
    </xf>
    <xf numFmtId="3" fontId="22" fillId="26" borderId="10" xfId="0" applyNumberFormat="1" applyFont="1" applyFill="1" applyBorder="1" applyAlignment="1">
      <alignment horizontal="left" vertical="center" indent="1"/>
    </xf>
    <xf numFmtId="172" fontId="27" fillId="25" borderId="23" xfId="0" applyNumberFormat="1" applyFont="1" applyFill="1" applyBorder="1" applyAlignment="1">
      <alignment horizontal="center" vertical="center"/>
    </xf>
    <xf numFmtId="172" fontId="27" fillId="25" borderId="18" xfId="0" applyNumberFormat="1" applyFont="1" applyFill="1" applyBorder="1" applyAlignment="1">
      <alignment horizontal="center" vertical="center"/>
    </xf>
    <xf numFmtId="165" fontId="22" fillId="26" borderId="18" xfId="33" applyNumberFormat="1" applyFont="1" applyFill="1" applyBorder="1" applyAlignment="1">
      <alignment horizontal="center"/>
    </xf>
    <xf numFmtId="0" fontId="25" fillId="25" borderId="17" xfId="0" applyFont="1" applyFill="1" applyBorder="1" applyAlignment="1">
      <alignment vertical="center" wrapText="1"/>
    </xf>
    <xf numFmtId="0" fontId="25" fillId="25" borderId="18" xfId="0" applyFont="1" applyFill="1" applyBorder="1" applyAlignment="1">
      <alignment vertical="center" wrapText="1"/>
    </xf>
    <xf numFmtId="0" fontId="21" fillId="24" borderId="15" xfId="0" applyFont="1" applyFill="1" applyBorder="1"/>
    <xf numFmtId="0" fontId="29" fillId="0" borderId="17" xfId="36" applyFont="1" applyBorder="1" applyAlignment="1">
      <alignment horizontal="left" indent="1"/>
    </xf>
    <xf numFmtId="0" fontId="29" fillId="0" borderId="12" xfId="36" applyFont="1" applyBorder="1" applyAlignment="1">
      <alignment horizontal="left" indent="1"/>
    </xf>
    <xf numFmtId="0" fontId="29" fillId="0" borderId="18" xfId="36" applyFont="1" applyBorder="1" applyAlignment="1">
      <alignment horizontal="left" indent="1"/>
    </xf>
    <xf numFmtId="0" fontId="22" fillId="0" borderId="1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8" xfId="0" applyFont="1" applyBorder="1" applyAlignment="1">
      <alignment horizontal="center" vertical="center" wrapText="1"/>
    </xf>
    <xf numFmtId="0" fontId="21" fillId="0" borderId="0" xfId="0" applyFont="1" applyAlignment="1">
      <alignment horizontal="left" vertical="center"/>
    </xf>
    <xf numFmtId="0" fontId="30" fillId="24" borderId="16" xfId="0" applyFont="1" applyFill="1" applyBorder="1" applyAlignment="1">
      <alignment horizontal="left" vertical="center"/>
    </xf>
    <xf numFmtId="0" fontId="22" fillId="0" borderId="18" xfId="0" applyFont="1" applyBorder="1"/>
    <xf numFmtId="0" fontId="30" fillId="24" borderId="24" xfId="0" applyFont="1" applyFill="1" applyBorder="1" applyAlignment="1">
      <alignment horizontal="left" vertical="center" wrapText="1"/>
    </xf>
    <xf numFmtId="0" fontId="22" fillId="29" borderId="12" xfId="0" applyFont="1" applyFill="1" applyBorder="1"/>
    <xf numFmtId="0" fontId="22" fillId="29" borderId="18" xfId="0" applyFont="1" applyFill="1" applyBorder="1"/>
    <xf numFmtId="0" fontId="31" fillId="0" borderId="0" xfId="49" applyFont="1" applyAlignment="1">
      <alignment vertical="center"/>
    </xf>
    <xf numFmtId="0" fontId="21" fillId="24" borderId="24" xfId="0" applyFont="1" applyFill="1" applyBorder="1"/>
    <xf numFmtId="0" fontId="34" fillId="0" borderId="0" xfId="49" applyFont="1" applyAlignment="1">
      <alignment vertical="center"/>
    </xf>
    <xf numFmtId="0" fontId="31" fillId="0" borderId="0" xfId="49" applyFont="1"/>
    <xf numFmtId="3" fontId="31" fillId="0" borderId="0" xfId="49" applyNumberFormat="1" applyFont="1" applyAlignment="1">
      <alignment horizontal="center" vertical="center"/>
    </xf>
    <xf numFmtId="0" fontId="35" fillId="0" borderId="0" xfId="49" applyFont="1" applyAlignment="1">
      <alignment horizontal="left" vertical="center" indent="1"/>
    </xf>
    <xf numFmtId="173" fontId="31" fillId="0" borderId="0" xfId="50" applyNumberFormat="1" applyFont="1" applyAlignment="1">
      <alignment vertical="center"/>
    </xf>
    <xf numFmtId="3" fontId="35" fillId="0" borderId="0" xfId="49" applyNumberFormat="1" applyFont="1" applyAlignment="1">
      <alignment horizontal="left" vertical="center"/>
    </xf>
    <xf numFmtId="0" fontId="36" fillId="0" borderId="0" xfId="49" applyFont="1" applyAlignment="1">
      <alignment vertical="center"/>
    </xf>
    <xf numFmtId="0" fontId="22" fillId="26" borderId="12" xfId="0" applyFont="1" applyFill="1" applyBorder="1" applyAlignment="1">
      <alignment vertical="center" wrapText="1"/>
    </xf>
    <xf numFmtId="0" fontId="26" fillId="28" borderId="14" xfId="0" applyFont="1" applyFill="1" applyBorder="1"/>
    <xf numFmtId="3" fontId="22" fillId="0" borderId="23" xfId="0" applyNumberFormat="1" applyFont="1" applyBorder="1" applyAlignment="1">
      <alignment horizontal="center" vertical="center"/>
    </xf>
    <xf numFmtId="0" fontId="31" fillId="0" borderId="0" xfId="49" applyFont="1" applyAlignment="1">
      <alignment vertical="center" wrapText="1"/>
    </xf>
    <xf numFmtId="3" fontId="35" fillId="26" borderId="10" xfId="49" applyNumberFormat="1" applyFont="1" applyFill="1" applyBorder="1" applyAlignment="1">
      <alignment horizontal="center" vertical="center" wrapText="1"/>
    </xf>
    <xf numFmtId="0" fontId="22" fillId="0" borderId="15" xfId="0" applyFont="1" applyBorder="1"/>
    <xf numFmtId="3" fontId="26" fillId="28" borderId="23" xfId="0" applyNumberFormat="1" applyFont="1" applyFill="1" applyBorder="1" applyAlignment="1">
      <alignment horizontal="center" vertical="center"/>
    </xf>
    <xf numFmtId="0" fontId="22" fillId="29" borderId="16" xfId="0" applyFont="1" applyFill="1" applyBorder="1"/>
    <xf numFmtId="0" fontId="21" fillId="29" borderId="24" xfId="0" applyFont="1" applyFill="1" applyBorder="1" applyAlignment="1">
      <alignment horizontal="center" vertical="center" wrapText="1"/>
    </xf>
    <xf numFmtId="0" fontId="1" fillId="0" borderId="0" xfId="36"/>
    <xf numFmtId="0" fontId="38" fillId="0" borderId="0" xfId="36" applyFont="1" applyAlignment="1">
      <alignment vertical="center"/>
    </xf>
    <xf numFmtId="0" fontId="26" fillId="28" borderId="24" xfId="0" applyFont="1" applyFill="1" applyBorder="1" applyAlignment="1">
      <alignment horizontal="left" vertical="center"/>
    </xf>
    <xf numFmtId="0" fontId="26" fillId="26" borderId="24" xfId="0" applyFont="1" applyFill="1" applyBorder="1" applyAlignment="1">
      <alignment horizontal="left" vertical="center"/>
    </xf>
    <xf numFmtId="172" fontId="24" fillId="25" borderId="11" xfId="0" applyNumberFormat="1" applyFont="1" applyFill="1" applyBorder="1" applyAlignment="1">
      <alignment horizontal="center"/>
    </xf>
    <xf numFmtId="172" fontId="24" fillId="25" borderId="13" xfId="0" applyNumberFormat="1" applyFont="1" applyFill="1" applyBorder="1" applyAlignment="1">
      <alignment horizontal="center"/>
    </xf>
    <xf numFmtId="0" fontId="21" fillId="24" borderId="24" xfId="0" applyFont="1" applyFill="1" applyBorder="1" applyAlignment="1">
      <alignment horizontal="center" vertical="center"/>
    </xf>
    <xf numFmtId="0" fontId="25" fillId="25" borderId="14" xfId="0" applyFont="1" applyFill="1" applyBorder="1" applyAlignment="1">
      <alignment horizontal="center" vertical="center"/>
    </xf>
    <xf numFmtId="0" fontId="25" fillId="25" borderId="22" xfId="0" applyFont="1" applyFill="1" applyBorder="1" applyAlignment="1">
      <alignment horizontal="center" vertical="center"/>
    </xf>
    <xf numFmtId="0" fontId="31" fillId="0" borderId="14" xfId="36" applyFont="1" applyBorder="1" applyAlignment="1">
      <alignment horizontal="left" vertical="center" indent="1" readingOrder="1"/>
    </xf>
    <xf numFmtId="3" fontId="31" fillId="0" borderId="14" xfId="36" applyNumberFormat="1" applyFont="1" applyBorder="1" applyAlignment="1">
      <alignment horizontal="center" vertical="center"/>
    </xf>
    <xf numFmtId="3" fontId="31" fillId="0" borderId="17" xfId="36" applyNumberFormat="1" applyFont="1" applyBorder="1" applyAlignment="1">
      <alignment horizontal="center" vertical="center"/>
    </xf>
    <xf numFmtId="3" fontId="31" fillId="0" borderId="22" xfId="36" applyNumberFormat="1" applyFont="1" applyBorder="1" applyAlignment="1">
      <alignment horizontal="center" vertical="center"/>
    </xf>
    <xf numFmtId="0" fontId="31" fillId="0" borderId="10" xfId="36" applyFont="1" applyBorder="1" applyAlignment="1">
      <alignment horizontal="left" vertical="center" indent="1" readingOrder="1"/>
    </xf>
    <xf numFmtId="3" fontId="31" fillId="0" borderId="10" xfId="36" applyNumberFormat="1" applyFont="1" applyBorder="1" applyAlignment="1">
      <alignment horizontal="center" vertical="center"/>
    </xf>
    <xf numFmtId="3" fontId="31" fillId="0" borderId="12" xfId="36" applyNumberFormat="1" applyFont="1" applyBorder="1" applyAlignment="1">
      <alignment horizontal="center" vertical="center"/>
    </xf>
    <xf numFmtId="3" fontId="31" fillId="0" borderId="11" xfId="36" applyNumberFormat="1" applyFont="1" applyBorder="1" applyAlignment="1">
      <alignment horizontal="center" vertical="center"/>
    </xf>
    <xf numFmtId="0" fontId="31" fillId="0" borderId="15" xfId="36" applyFont="1" applyBorder="1" applyAlignment="1">
      <alignment horizontal="left" vertical="center" indent="1" readingOrder="1"/>
    </xf>
    <xf numFmtId="3" fontId="31" fillId="0" borderId="15" xfId="36" applyNumberFormat="1" applyFont="1" applyBorder="1" applyAlignment="1">
      <alignment horizontal="center" vertical="center"/>
    </xf>
    <xf numFmtId="3" fontId="31" fillId="0" borderId="18" xfId="36" applyNumberFormat="1" applyFont="1" applyBorder="1" applyAlignment="1">
      <alignment horizontal="center" vertical="center"/>
    </xf>
    <xf numFmtId="3" fontId="31" fillId="0" borderId="13" xfId="36" applyNumberFormat="1" applyFont="1" applyBorder="1" applyAlignment="1">
      <alignment horizontal="center" vertical="center"/>
    </xf>
    <xf numFmtId="174" fontId="39" fillId="26" borderId="16" xfId="0" applyNumberFormat="1" applyFont="1" applyFill="1" applyBorder="1" applyAlignment="1">
      <alignment horizontal="left" vertical="center" wrapText="1" indent="1"/>
    </xf>
    <xf numFmtId="3" fontId="39" fillId="26" borderId="16" xfId="0" applyNumberFormat="1" applyFont="1" applyFill="1" applyBorder="1" applyAlignment="1">
      <alignment horizontal="center" vertical="center" wrapText="1"/>
    </xf>
    <xf numFmtId="3" fontId="39" fillId="26" borderId="24" xfId="0" applyNumberFormat="1" applyFont="1" applyFill="1" applyBorder="1" applyAlignment="1">
      <alignment horizontal="center" vertical="center" wrapText="1"/>
    </xf>
    <xf numFmtId="3" fontId="39" fillId="26" borderId="20" xfId="0" applyNumberFormat="1" applyFont="1" applyFill="1" applyBorder="1" applyAlignment="1">
      <alignment horizontal="center" vertical="center" wrapText="1"/>
    </xf>
    <xf numFmtId="3" fontId="22" fillId="0" borderId="0" xfId="0" applyNumberFormat="1" applyFont="1" applyAlignment="1">
      <alignment horizontal="center"/>
    </xf>
    <xf numFmtId="0" fontId="31" fillId="0" borderId="14" xfId="36" applyFont="1" applyBorder="1" applyAlignment="1">
      <alignment horizontal="left" vertical="center" indent="1"/>
    </xf>
    <xf numFmtId="0" fontId="31" fillId="0" borderId="10" xfId="36" applyFont="1" applyBorder="1" applyAlignment="1">
      <alignment horizontal="left" vertical="center" indent="1"/>
    </xf>
    <xf numFmtId="0" fontId="31" fillId="0" borderId="0" xfId="36" applyFont="1" applyAlignment="1">
      <alignment vertical="center"/>
    </xf>
    <xf numFmtId="3" fontId="31" fillId="0" borderId="0" xfId="36" applyNumberFormat="1" applyFont="1" applyAlignment="1">
      <alignment horizontal="center" vertical="center"/>
    </xf>
    <xf numFmtId="0" fontId="33" fillId="0" borderId="17" xfId="0" applyFont="1" applyBorder="1" applyAlignment="1">
      <alignment horizontal="left" vertical="center" indent="1"/>
    </xf>
    <xf numFmtId="0" fontId="33" fillId="0" borderId="12" xfId="0" applyFont="1" applyBorder="1" applyAlignment="1">
      <alignment horizontal="left" vertical="center" indent="1"/>
    </xf>
    <xf numFmtId="0" fontId="33" fillId="0" borderId="18" xfId="0" applyFont="1" applyBorder="1" applyAlignment="1">
      <alignment horizontal="left" vertical="center" indent="1"/>
    </xf>
    <xf numFmtId="0" fontId="32" fillId="30" borderId="24" xfId="36" applyFont="1" applyFill="1" applyBorder="1" applyAlignment="1">
      <alignment horizontal="left" vertical="center" indent="1" readingOrder="1"/>
    </xf>
    <xf numFmtId="3" fontId="32" fillId="30" borderId="16" xfId="36" applyNumberFormat="1" applyFont="1" applyFill="1" applyBorder="1" applyAlignment="1">
      <alignment horizontal="center" vertical="center"/>
    </xf>
    <xf numFmtId="3" fontId="32" fillId="30" borderId="24" xfId="36" applyNumberFormat="1" applyFont="1" applyFill="1" applyBorder="1" applyAlignment="1">
      <alignment horizontal="center" vertical="center"/>
    </xf>
    <xf numFmtId="0" fontId="32" fillId="30" borderId="24" xfId="36" applyFont="1" applyFill="1" applyBorder="1" applyAlignment="1">
      <alignment horizontal="left" vertical="center" indent="1"/>
    </xf>
    <xf numFmtId="3" fontId="32" fillId="30" borderId="19" xfId="36" applyNumberFormat="1" applyFont="1" applyFill="1" applyBorder="1" applyAlignment="1">
      <alignment horizontal="center" vertical="center"/>
    </xf>
    <xf numFmtId="0" fontId="26" fillId="28" borderId="31" xfId="0" applyFont="1" applyFill="1" applyBorder="1" applyAlignment="1">
      <alignment horizontal="center" vertical="center" wrapText="1"/>
    </xf>
    <xf numFmtId="0" fontId="22" fillId="26" borderId="32" xfId="0" applyFont="1" applyFill="1" applyBorder="1" applyAlignment="1">
      <alignment horizontal="center" vertical="center" wrapText="1"/>
    </xf>
    <xf numFmtId="0" fontId="26" fillId="28" borderId="24" xfId="0" applyFont="1" applyFill="1" applyBorder="1" applyAlignment="1">
      <alignment horizontal="center" vertical="center" wrapText="1"/>
    </xf>
    <xf numFmtId="171" fontId="26" fillId="28" borderId="19" xfId="0" applyNumberFormat="1" applyFont="1" applyFill="1" applyBorder="1" applyAlignment="1">
      <alignment horizontal="center"/>
    </xf>
    <xf numFmtId="0" fontId="26" fillId="28" borderId="19" xfId="0" applyFont="1" applyFill="1" applyBorder="1"/>
    <xf numFmtId="0" fontId="26" fillId="28" borderId="20" xfId="0" applyFont="1" applyFill="1" applyBorder="1"/>
    <xf numFmtId="0" fontId="26" fillId="28" borderId="17" xfId="0" applyFont="1" applyFill="1" applyBorder="1" applyAlignment="1">
      <alignment horizontal="center" vertical="center" wrapText="1"/>
    </xf>
    <xf numFmtId="3" fontId="31" fillId="24" borderId="11" xfId="49" applyNumberFormat="1" applyFont="1" applyFill="1" applyBorder="1" applyAlignment="1">
      <alignment horizontal="center" vertical="center" wrapText="1"/>
    </xf>
    <xf numFmtId="3" fontId="22" fillId="0" borderId="11" xfId="0" applyNumberFormat="1" applyFont="1" applyBorder="1" applyAlignment="1">
      <alignment horizontal="center" vertical="center"/>
    </xf>
    <xf numFmtId="175" fontId="21" fillId="24" borderId="24" xfId="0" applyNumberFormat="1" applyFont="1" applyFill="1" applyBorder="1" applyAlignment="1">
      <alignment horizontal="center" vertical="center"/>
    </xf>
    <xf numFmtId="175" fontId="22" fillId="24" borderId="11" xfId="0" applyNumberFormat="1" applyFont="1" applyFill="1" applyBorder="1" applyAlignment="1">
      <alignment horizontal="center"/>
    </xf>
    <xf numFmtId="175" fontId="21" fillId="24" borderId="20" xfId="0" applyNumberFormat="1" applyFont="1" applyFill="1" applyBorder="1" applyAlignment="1">
      <alignment horizontal="center" vertical="center"/>
    </xf>
    <xf numFmtId="9" fontId="0" fillId="0" borderId="0" xfId="37" applyFont="1"/>
    <xf numFmtId="3" fontId="40" fillId="0" borderId="0" xfId="0" applyNumberFormat="1" applyFont="1"/>
    <xf numFmtId="171" fontId="21" fillId="24" borderId="24" xfId="0" applyNumberFormat="1" applyFont="1" applyFill="1" applyBorder="1" applyAlignment="1">
      <alignment horizontal="center"/>
    </xf>
    <xf numFmtId="175" fontId="40" fillId="0" borderId="0" xfId="0" applyNumberFormat="1" applyFont="1"/>
    <xf numFmtId="0" fontId="40" fillId="0" borderId="0" xfId="0" applyFont="1"/>
    <xf numFmtId="170" fontId="22" fillId="0" borderId="0" xfId="37" applyNumberFormat="1" applyFont="1"/>
    <xf numFmtId="10" fontId="22" fillId="0" borderId="0" xfId="37" applyNumberFormat="1" applyFont="1"/>
    <xf numFmtId="0" fontId="29" fillId="0" borderId="10" xfId="0" applyFont="1" applyBorder="1" applyAlignment="1">
      <alignment horizontal="left" indent="1"/>
    </xf>
    <xf numFmtId="176" fontId="22" fillId="0" borderId="0" xfId="51" applyNumberFormat="1" applyFont="1"/>
    <xf numFmtId="0" fontId="29" fillId="0" borderId="0" xfId="0" applyFont="1"/>
    <xf numFmtId="3" fontId="31" fillId="0" borderId="17" xfId="51" applyNumberFormat="1" applyFont="1" applyFill="1" applyBorder="1" applyAlignment="1">
      <alignment horizontal="center" vertical="center"/>
    </xf>
    <xf numFmtId="3" fontId="31" fillId="0" borderId="12" xfId="51" applyNumberFormat="1" applyFont="1" applyFill="1" applyBorder="1" applyAlignment="1">
      <alignment horizontal="center" vertical="center"/>
    </xf>
    <xf numFmtId="3" fontId="31" fillId="0" borderId="18" xfId="51" applyNumberFormat="1" applyFont="1" applyFill="1" applyBorder="1" applyAlignment="1">
      <alignment horizontal="center" vertical="center"/>
    </xf>
    <xf numFmtId="3" fontId="22" fillId="0" borderId="12" xfId="0" applyNumberFormat="1" applyFont="1" applyBorder="1" applyAlignment="1">
      <alignment horizontal="center" vertical="center" wrapText="1"/>
    </xf>
    <xf numFmtId="3" fontId="22" fillId="0" borderId="18" xfId="0" applyNumberFormat="1" applyFont="1" applyBorder="1" applyAlignment="1">
      <alignment horizontal="center" vertical="center" wrapText="1"/>
    </xf>
    <xf numFmtId="3" fontId="26" fillId="28" borderId="16" xfId="0" applyNumberFormat="1" applyFont="1" applyFill="1" applyBorder="1" applyAlignment="1">
      <alignment horizontal="center" vertical="center"/>
    </xf>
    <xf numFmtId="3" fontId="26" fillId="28" borderId="20" xfId="0" applyNumberFormat="1" applyFont="1" applyFill="1" applyBorder="1" applyAlignment="1">
      <alignment horizontal="center" vertical="center"/>
    </xf>
    <xf numFmtId="1" fontId="21" fillId="0" borderId="0" xfId="0" applyNumberFormat="1" applyFont="1"/>
    <xf numFmtId="0" fontId="25" fillId="25" borderId="17" xfId="0" applyFont="1" applyFill="1" applyBorder="1" applyAlignment="1">
      <alignment horizontal="center" vertical="center" wrapText="1"/>
    </xf>
    <xf numFmtId="0" fontId="22" fillId="26" borderId="17" xfId="0" applyFont="1" applyFill="1" applyBorder="1" applyAlignment="1">
      <alignment horizontal="center" vertical="center"/>
    </xf>
    <xf numFmtId="172" fontId="27" fillId="25" borderId="13" xfId="0" applyNumberFormat="1" applyFont="1" applyFill="1" applyBorder="1" applyAlignment="1">
      <alignment horizontal="center" vertical="center"/>
    </xf>
    <xf numFmtId="3" fontId="22" fillId="0" borderId="22" xfId="0" applyNumberFormat="1" applyFont="1" applyBorder="1" applyAlignment="1">
      <alignment horizontal="center" vertical="center"/>
    </xf>
    <xf numFmtId="3" fontId="22" fillId="0" borderId="13" xfId="0" applyNumberFormat="1" applyFont="1" applyBorder="1" applyAlignment="1">
      <alignment horizontal="center" vertical="center"/>
    </xf>
    <xf numFmtId="3" fontId="26" fillId="28" borderId="13" xfId="0" applyNumberFormat="1" applyFont="1" applyFill="1" applyBorder="1" applyAlignment="1">
      <alignment horizontal="center" vertical="center"/>
    </xf>
    <xf numFmtId="0" fontId="25" fillId="31" borderId="17" xfId="0" applyFont="1" applyFill="1" applyBorder="1" applyAlignment="1">
      <alignment horizontal="center" vertical="center" wrapText="1"/>
    </xf>
    <xf numFmtId="3" fontId="22" fillId="32" borderId="17" xfId="0" applyNumberFormat="1" applyFont="1" applyFill="1" applyBorder="1" applyAlignment="1">
      <alignment horizontal="center"/>
    </xf>
    <xf numFmtId="3" fontId="22" fillId="32" borderId="12" xfId="0" applyNumberFormat="1" applyFont="1" applyFill="1" applyBorder="1" applyAlignment="1">
      <alignment horizontal="center"/>
    </xf>
    <xf numFmtId="3" fontId="22" fillId="32" borderId="24" xfId="0" applyNumberFormat="1" applyFont="1" applyFill="1" applyBorder="1" applyAlignment="1">
      <alignment horizontal="center"/>
    </xf>
    <xf numFmtId="3" fontId="22" fillId="24" borderId="17" xfId="0" applyNumberFormat="1" applyFont="1" applyFill="1" applyBorder="1" applyAlignment="1">
      <alignment horizontal="center"/>
    </xf>
    <xf numFmtId="172" fontId="27" fillId="25" borderId="18" xfId="0" applyNumberFormat="1" applyFont="1" applyFill="1" applyBorder="1" applyAlignment="1">
      <alignment horizontal="center" vertical="center" wrapText="1"/>
    </xf>
    <xf numFmtId="3" fontId="29" fillId="0" borderId="11" xfId="0" applyNumberFormat="1" applyFont="1" applyBorder="1" applyAlignment="1">
      <alignment horizontal="center"/>
    </xf>
    <xf numFmtId="0" fontId="42" fillId="0" borderId="24" xfId="0" applyFont="1" applyBorder="1" applyAlignment="1">
      <alignment horizontal="center" vertical="center" wrapText="1"/>
    </xf>
    <xf numFmtId="0" fontId="25" fillId="31" borderId="18" xfId="0" applyFont="1" applyFill="1" applyBorder="1" applyAlignment="1">
      <alignment horizontal="center" vertical="center" wrapText="1"/>
    </xf>
    <xf numFmtId="3" fontId="22" fillId="24" borderId="18" xfId="0" applyNumberFormat="1" applyFont="1" applyFill="1" applyBorder="1" applyAlignment="1">
      <alignment horizontal="center"/>
    </xf>
    <xf numFmtId="3" fontId="21" fillId="32" borderId="24" xfId="0" applyNumberFormat="1" applyFont="1" applyFill="1" applyBorder="1" applyAlignment="1">
      <alignment horizontal="center" vertical="center"/>
    </xf>
    <xf numFmtId="3" fontId="22" fillId="24" borderId="24" xfId="0" applyNumberFormat="1" applyFont="1" applyFill="1" applyBorder="1" applyAlignment="1">
      <alignment horizontal="center" vertical="center"/>
    </xf>
    <xf numFmtId="3" fontId="22" fillId="24" borderId="20" xfId="0" applyNumberFormat="1" applyFont="1" applyFill="1" applyBorder="1" applyAlignment="1">
      <alignment horizontal="center"/>
    </xf>
    <xf numFmtId="172" fontId="27" fillId="25" borderId="12" xfId="0" applyNumberFormat="1" applyFont="1" applyFill="1" applyBorder="1" applyAlignment="1">
      <alignment horizontal="center" vertical="center" wrapText="1"/>
    </xf>
    <xf numFmtId="3" fontId="22" fillId="24" borderId="22" xfId="0" applyNumberFormat="1" applyFont="1" applyFill="1" applyBorder="1" applyAlignment="1">
      <alignment horizontal="center"/>
    </xf>
    <xf numFmtId="3" fontId="22" fillId="24" borderId="15" xfId="0" applyNumberFormat="1" applyFont="1" applyFill="1" applyBorder="1" applyAlignment="1">
      <alignment horizontal="center" vertical="center"/>
    </xf>
    <xf numFmtId="3" fontId="22" fillId="24" borderId="23" xfId="0" applyNumberFormat="1" applyFont="1" applyFill="1" applyBorder="1" applyAlignment="1">
      <alignment horizontal="center" vertical="center"/>
    </xf>
    <xf numFmtId="3" fontId="22" fillId="32" borderId="18" xfId="0" applyNumberFormat="1" applyFont="1" applyFill="1" applyBorder="1" applyAlignment="1">
      <alignment horizontal="center"/>
    </xf>
    <xf numFmtId="3" fontId="21" fillId="24" borderId="11" xfId="0" applyNumberFormat="1" applyFont="1" applyFill="1" applyBorder="1" applyAlignment="1">
      <alignment horizontal="center" vertical="center"/>
    </xf>
    <xf numFmtId="3" fontId="22" fillId="24" borderId="22" xfId="0" applyNumberFormat="1" applyFont="1" applyFill="1" applyBorder="1" applyAlignment="1">
      <alignment horizontal="center" vertical="center"/>
    </xf>
    <xf numFmtId="3" fontId="22" fillId="24" borderId="11" xfId="0" applyNumberFormat="1" applyFont="1" applyFill="1" applyBorder="1" applyAlignment="1">
      <alignment horizontal="center" vertical="center"/>
    </xf>
    <xf numFmtId="3" fontId="22" fillId="24" borderId="10" xfId="0" applyNumberFormat="1" applyFont="1" applyFill="1" applyBorder="1" applyAlignment="1">
      <alignment horizontal="center" vertical="center"/>
    </xf>
    <xf numFmtId="3" fontId="21" fillId="24" borderId="20" xfId="0" applyNumberFormat="1" applyFont="1" applyFill="1" applyBorder="1" applyAlignment="1">
      <alignment horizontal="center"/>
    </xf>
    <xf numFmtId="3" fontId="22" fillId="32" borderId="17" xfId="0" applyNumberFormat="1" applyFont="1" applyFill="1" applyBorder="1" applyAlignment="1">
      <alignment horizontal="center" vertical="center" wrapText="1"/>
    </xf>
    <xf numFmtId="3" fontId="22" fillId="32" borderId="12" xfId="0" applyNumberFormat="1" applyFont="1" applyFill="1" applyBorder="1" applyAlignment="1">
      <alignment horizontal="center" vertical="center" wrapText="1"/>
    </xf>
    <xf numFmtId="3" fontId="21" fillId="32" borderId="24" xfId="0" applyNumberFormat="1" applyFont="1" applyFill="1" applyBorder="1" applyAlignment="1">
      <alignment horizontal="center" vertical="center" wrapText="1"/>
    </xf>
    <xf numFmtId="0" fontId="26" fillId="27" borderId="0" xfId="0" applyFont="1" applyFill="1" applyAlignment="1">
      <alignment horizontal="center" vertical="center"/>
    </xf>
    <xf numFmtId="3" fontId="22" fillId="24" borderId="0" xfId="0" applyNumberFormat="1" applyFont="1" applyFill="1" applyAlignment="1">
      <alignment horizontal="center" vertical="center"/>
    </xf>
    <xf numFmtId="175" fontId="22" fillId="24" borderId="12" xfId="0" applyNumberFormat="1" applyFont="1" applyFill="1" applyBorder="1" applyAlignment="1">
      <alignment horizontal="center" vertical="center"/>
    </xf>
    <xf numFmtId="3" fontId="21" fillId="24" borderId="17" xfId="0" applyNumberFormat="1" applyFont="1" applyFill="1" applyBorder="1" applyAlignment="1">
      <alignment horizontal="center" vertical="center"/>
    </xf>
    <xf numFmtId="3" fontId="21" fillId="24" borderId="12" xfId="0" applyNumberFormat="1" applyFont="1" applyFill="1" applyBorder="1" applyAlignment="1">
      <alignment horizontal="center" vertical="center"/>
    </xf>
    <xf numFmtId="3" fontId="22" fillId="26" borderId="14" xfId="0" applyNumberFormat="1" applyFont="1" applyFill="1" applyBorder="1" applyAlignment="1">
      <alignment horizontal="left" vertical="center" indent="1"/>
    </xf>
    <xf numFmtId="3" fontId="22" fillId="26" borderId="15" xfId="0" applyNumberFormat="1" applyFont="1" applyFill="1" applyBorder="1" applyAlignment="1">
      <alignment horizontal="left" vertical="center" indent="1"/>
    </xf>
    <xf numFmtId="3" fontId="22" fillId="24" borderId="17" xfId="0" applyNumberFormat="1" applyFont="1" applyFill="1" applyBorder="1" applyAlignment="1">
      <alignment horizontal="left" vertical="center" indent="1"/>
    </xf>
    <xf numFmtId="3" fontId="22" fillId="24" borderId="12" xfId="0" applyNumberFormat="1" applyFont="1" applyFill="1" applyBorder="1" applyAlignment="1">
      <alignment horizontal="left" vertical="center" indent="1"/>
    </xf>
    <xf numFmtId="3" fontId="22" fillId="24" borderId="18" xfId="0" applyNumberFormat="1" applyFont="1" applyFill="1" applyBorder="1" applyAlignment="1">
      <alignment horizontal="left" vertical="center" indent="1"/>
    </xf>
    <xf numFmtId="3" fontId="28" fillId="28" borderId="19" xfId="0" applyNumberFormat="1" applyFont="1" applyFill="1" applyBorder="1" applyAlignment="1">
      <alignment horizontal="center" vertical="center"/>
    </xf>
    <xf numFmtId="3" fontId="28" fillId="28" borderId="20" xfId="0" applyNumberFormat="1" applyFont="1" applyFill="1" applyBorder="1" applyAlignment="1">
      <alignment horizontal="center" vertical="center"/>
    </xf>
    <xf numFmtId="3" fontId="28" fillId="28" borderId="16" xfId="0" applyNumberFormat="1" applyFont="1" applyFill="1" applyBorder="1" applyAlignment="1">
      <alignment horizontal="center" vertical="center"/>
    </xf>
    <xf numFmtId="3" fontId="28" fillId="28" borderId="24" xfId="0" applyNumberFormat="1" applyFont="1" applyFill="1" applyBorder="1" applyAlignment="1">
      <alignment horizontal="center" vertical="center"/>
    </xf>
    <xf numFmtId="3" fontId="21" fillId="24" borderId="10" xfId="0" applyNumberFormat="1" applyFont="1" applyFill="1" applyBorder="1" applyAlignment="1">
      <alignment horizontal="center" vertical="center"/>
    </xf>
    <xf numFmtId="0" fontId="22" fillId="0" borderId="12" xfId="0" applyFont="1" applyBorder="1" applyAlignment="1">
      <alignment horizontal="center" vertical="center"/>
    </xf>
    <xf numFmtId="0" fontId="0" fillId="32" borderId="24" xfId="0" applyFill="1" applyBorder="1"/>
    <xf numFmtId="175" fontId="22" fillId="24" borderId="17" xfId="0" applyNumberFormat="1" applyFont="1" applyFill="1" applyBorder="1" applyAlignment="1">
      <alignment horizontal="center" vertical="center"/>
    </xf>
    <xf numFmtId="3" fontId="22" fillId="24" borderId="13" xfId="0" applyNumberFormat="1" applyFont="1" applyFill="1" applyBorder="1" applyAlignment="1">
      <alignment horizontal="center"/>
    </xf>
    <xf numFmtId="3" fontId="22" fillId="0" borderId="18" xfId="0" applyNumberFormat="1" applyFont="1" applyBorder="1" applyAlignment="1">
      <alignment horizontal="left" vertical="center" indent="1"/>
    </xf>
    <xf numFmtId="3" fontId="40" fillId="0" borderId="0" xfId="0" applyNumberFormat="1" applyFont="1" applyAlignment="1">
      <alignment horizontal="center" vertical="center"/>
    </xf>
    <xf numFmtId="10" fontId="40" fillId="0" borderId="0" xfId="37" applyNumberFormat="1" applyFont="1"/>
    <xf numFmtId="3" fontId="29" fillId="0" borderId="0" xfId="0" applyNumberFormat="1" applyFont="1"/>
    <xf numFmtId="170" fontId="22" fillId="0" borderId="0" xfId="37" applyNumberFormat="1" applyFont="1" applyAlignment="1">
      <alignment horizontal="center" vertical="center"/>
    </xf>
    <xf numFmtId="177" fontId="22" fillId="0" borderId="0" xfId="0" applyNumberFormat="1" applyFont="1"/>
    <xf numFmtId="170" fontId="21" fillId="29" borderId="19" xfId="37" applyNumberFormat="1" applyFont="1" applyFill="1" applyBorder="1" applyAlignment="1">
      <alignment horizontal="center" vertical="center"/>
    </xf>
    <xf numFmtId="170" fontId="21" fillId="29" borderId="20" xfId="37" applyNumberFormat="1" applyFont="1" applyFill="1" applyBorder="1" applyAlignment="1">
      <alignment horizontal="center" vertical="center"/>
    </xf>
    <xf numFmtId="2" fontId="40" fillId="0" borderId="0" xfId="0" applyNumberFormat="1" applyFont="1"/>
    <xf numFmtId="170" fontId="21" fillId="29" borderId="24" xfId="37" applyNumberFormat="1" applyFont="1" applyFill="1" applyBorder="1" applyAlignment="1">
      <alignment horizontal="center" vertical="center"/>
    </xf>
    <xf numFmtId="170" fontId="0" fillId="0" borderId="0" xfId="0" applyNumberFormat="1"/>
    <xf numFmtId="170" fontId="21" fillId="29" borderId="16" xfId="37" applyNumberFormat="1" applyFont="1" applyFill="1" applyBorder="1" applyAlignment="1">
      <alignment horizontal="center" vertical="center"/>
    </xf>
    <xf numFmtId="0" fontId="41" fillId="0" borderId="0" xfId="0" applyFont="1"/>
    <xf numFmtId="3" fontId="41" fillId="0" borderId="0" xfId="0" applyNumberFormat="1" applyFont="1"/>
    <xf numFmtId="0" fontId="29" fillId="29" borderId="12" xfId="0" applyFont="1" applyFill="1" applyBorder="1"/>
    <xf numFmtId="173" fontId="22" fillId="0" borderId="0" xfId="51" applyNumberFormat="1" applyFont="1"/>
    <xf numFmtId="167" fontId="22" fillId="0" borderId="0" xfId="51" applyFont="1"/>
    <xf numFmtId="3" fontId="22" fillId="32" borderId="12" xfId="0" applyNumberFormat="1" applyFont="1" applyFill="1" applyBorder="1" applyAlignment="1">
      <alignment horizontal="center" vertical="center"/>
    </xf>
    <xf numFmtId="3" fontId="22" fillId="32" borderId="18" xfId="0" applyNumberFormat="1" applyFont="1" applyFill="1" applyBorder="1" applyAlignment="1">
      <alignment horizontal="center" vertical="center" wrapText="1"/>
    </xf>
    <xf numFmtId="3" fontId="22" fillId="32" borderId="21" xfId="0" applyNumberFormat="1" applyFont="1" applyFill="1" applyBorder="1" applyAlignment="1">
      <alignment horizontal="center" vertical="center"/>
    </xf>
    <xf numFmtId="3" fontId="22" fillId="32" borderId="0" xfId="0" applyNumberFormat="1" applyFont="1" applyFill="1" applyAlignment="1">
      <alignment horizontal="center" vertical="center"/>
    </xf>
    <xf numFmtId="3" fontId="22" fillId="27" borderId="0" xfId="0" applyNumberFormat="1" applyFont="1" applyFill="1" applyAlignment="1">
      <alignment horizontal="center" vertical="center"/>
    </xf>
    <xf numFmtId="0" fontId="22" fillId="27" borderId="14" xfId="0" applyFont="1" applyFill="1" applyBorder="1" applyAlignment="1">
      <alignment horizontal="left" indent="1"/>
    </xf>
    <xf numFmtId="0" fontId="22" fillId="27" borderId="12" xfId="0" applyFont="1" applyFill="1" applyBorder="1" applyAlignment="1">
      <alignment horizontal="center" vertical="center" wrapText="1"/>
    </xf>
    <xf numFmtId="0" fontId="22" fillId="27" borderId="10" xfId="0" applyFont="1" applyFill="1" applyBorder="1" applyAlignment="1">
      <alignment horizontal="left" indent="1"/>
    </xf>
    <xf numFmtId="0" fontId="29" fillId="27" borderId="10" xfId="0" applyFont="1" applyFill="1" applyBorder="1" applyAlignment="1">
      <alignment horizontal="left" indent="1"/>
    </xf>
    <xf numFmtId="0" fontId="22" fillId="27" borderId="10" xfId="0" applyFont="1" applyFill="1" applyBorder="1" applyAlignment="1">
      <alignment horizontal="left" vertical="center" indent="1"/>
    </xf>
    <xf numFmtId="3" fontId="40" fillId="27" borderId="0" xfId="0" applyNumberFormat="1" applyFont="1" applyFill="1" applyAlignment="1">
      <alignment horizontal="center" vertical="center"/>
    </xf>
    <xf numFmtId="3" fontId="22" fillId="33" borderId="17" xfId="0" applyNumberFormat="1" applyFont="1" applyFill="1" applyBorder="1" applyAlignment="1">
      <alignment horizontal="center" vertical="center" wrapText="1"/>
    </xf>
    <xf numFmtId="3" fontId="22" fillId="33" borderId="12" xfId="0" applyNumberFormat="1" applyFont="1" applyFill="1" applyBorder="1" applyAlignment="1">
      <alignment horizontal="center" vertical="center"/>
    </xf>
    <xf numFmtId="3" fontId="22" fillId="33" borderId="21" xfId="0" applyNumberFormat="1" applyFont="1" applyFill="1" applyBorder="1" applyAlignment="1">
      <alignment horizontal="center" vertical="center"/>
    </xf>
    <xf numFmtId="3" fontId="22" fillId="33" borderId="22" xfId="0" applyNumberFormat="1" applyFont="1" applyFill="1" applyBorder="1" applyAlignment="1">
      <alignment horizontal="center" vertical="center"/>
    </xf>
    <xf numFmtId="3" fontId="22" fillId="33" borderId="0" xfId="0" applyNumberFormat="1" applyFont="1" applyFill="1" applyAlignment="1">
      <alignment horizontal="center" vertical="center"/>
    </xf>
    <xf numFmtId="3" fontId="22" fillId="33" borderId="11" xfId="0" applyNumberFormat="1" applyFont="1" applyFill="1" applyBorder="1" applyAlignment="1">
      <alignment horizontal="center" vertical="center"/>
    </xf>
    <xf numFmtId="3" fontId="22" fillId="33" borderId="13" xfId="0" applyNumberFormat="1" applyFont="1" applyFill="1" applyBorder="1" applyAlignment="1">
      <alignment horizontal="center" vertical="center"/>
    </xf>
    <xf numFmtId="3" fontId="26" fillId="33" borderId="19" xfId="0" applyNumberFormat="1" applyFont="1" applyFill="1" applyBorder="1" applyAlignment="1">
      <alignment horizontal="center" vertical="center"/>
    </xf>
    <xf numFmtId="3" fontId="26" fillId="33" borderId="20" xfId="0" applyNumberFormat="1" applyFont="1" applyFill="1" applyBorder="1" applyAlignment="1">
      <alignment horizontal="center" vertical="center"/>
    </xf>
    <xf numFmtId="172" fontId="27" fillId="25" borderId="15" xfId="0" applyNumberFormat="1" applyFont="1" applyFill="1" applyBorder="1" applyAlignment="1">
      <alignment horizontal="center" vertical="center"/>
    </xf>
    <xf numFmtId="0" fontId="22" fillId="29" borderId="0" xfId="0" applyFont="1" applyFill="1"/>
    <xf numFmtId="0" fontId="29" fillId="29" borderId="0" xfId="0" applyFont="1" applyFill="1"/>
    <xf numFmtId="0" fontId="29" fillId="0" borderId="12" xfId="0" applyFont="1" applyBorder="1" applyAlignment="1">
      <alignment horizontal="left" indent="1"/>
    </xf>
    <xf numFmtId="0" fontId="34" fillId="29" borderId="0" xfId="49" applyFont="1" applyFill="1" applyAlignment="1">
      <alignment vertical="center"/>
    </xf>
    <xf numFmtId="0" fontId="0" fillId="29" borderId="0" xfId="0" applyFill="1"/>
    <xf numFmtId="0" fontId="31" fillId="29" borderId="0" xfId="49" applyFont="1" applyFill="1" applyAlignment="1">
      <alignment vertical="center"/>
    </xf>
    <xf numFmtId="0" fontId="36" fillId="29" borderId="0" xfId="49" applyFont="1" applyFill="1" applyAlignment="1">
      <alignment vertical="center"/>
    </xf>
    <xf numFmtId="0" fontId="22" fillId="26" borderId="0" xfId="0" applyFont="1" applyFill="1"/>
    <xf numFmtId="0" fontId="0" fillId="26" borderId="0" xfId="0" applyFill="1"/>
    <xf numFmtId="178" fontId="0" fillId="26" borderId="0" xfId="0" applyNumberFormat="1" applyFill="1"/>
    <xf numFmtId="3" fontId="22" fillId="26" borderId="12" xfId="0" applyNumberFormat="1" applyFont="1" applyFill="1" applyBorder="1" applyAlignment="1">
      <alignment horizontal="left" vertical="center" indent="1"/>
    </xf>
    <xf numFmtId="0" fontId="0" fillId="27" borderId="0" xfId="0" applyFill="1"/>
    <xf numFmtId="3" fontId="22" fillId="26" borderId="18" xfId="0" applyNumberFormat="1" applyFont="1" applyFill="1" applyBorder="1" applyAlignment="1">
      <alignment horizontal="left" vertical="center" indent="1"/>
    </xf>
    <xf numFmtId="173" fontId="22" fillId="0" borderId="10" xfId="51" applyNumberFormat="1" applyFont="1" applyBorder="1"/>
    <xf numFmtId="173" fontId="22" fillId="0" borderId="0" xfId="51" applyNumberFormat="1" applyFont="1" applyBorder="1"/>
    <xf numFmtId="173" fontId="22" fillId="0" borderId="11" xfId="51" applyNumberFormat="1" applyFont="1" applyBorder="1"/>
    <xf numFmtId="173" fontId="30" fillId="24" borderId="16" xfId="51" applyNumberFormat="1" applyFont="1" applyFill="1" applyBorder="1" applyAlignment="1">
      <alignment horizontal="right" vertical="center"/>
    </xf>
    <xf numFmtId="173" fontId="30" fillId="24" borderId="19" xfId="51" applyNumberFormat="1" applyFont="1" applyFill="1" applyBorder="1" applyAlignment="1">
      <alignment horizontal="right" vertical="center"/>
    </xf>
    <xf numFmtId="173" fontId="30" fillId="24" borderId="20" xfId="51" applyNumberFormat="1" applyFont="1" applyFill="1" applyBorder="1" applyAlignment="1">
      <alignment horizontal="right" vertical="center"/>
    </xf>
    <xf numFmtId="173" fontId="29" fillId="24" borderId="0" xfId="51" applyNumberFormat="1" applyFont="1" applyFill="1" applyBorder="1"/>
    <xf numFmtId="173" fontId="22" fillId="24" borderId="0" xfId="51" applyNumberFormat="1" applyFont="1" applyFill="1" applyBorder="1"/>
    <xf numFmtId="173" fontId="21" fillId="24" borderId="19" xfId="51" applyNumberFormat="1" applyFont="1" applyFill="1" applyBorder="1" applyAlignment="1">
      <alignment vertical="center"/>
    </xf>
    <xf numFmtId="173" fontId="30" fillId="24" borderId="19" xfId="51" applyNumberFormat="1" applyFont="1" applyFill="1" applyBorder="1" applyAlignment="1">
      <alignment vertical="center"/>
    </xf>
    <xf numFmtId="0" fontId="22" fillId="26" borderId="12" xfId="0" applyFont="1" applyFill="1" applyBorder="1" applyAlignment="1">
      <alignment horizontal="center" vertical="center"/>
    </xf>
    <xf numFmtId="3" fontId="28" fillId="28" borderId="20" xfId="0" applyNumberFormat="1" applyFont="1" applyFill="1" applyBorder="1" applyAlignment="1">
      <alignment horizontal="center"/>
    </xf>
    <xf numFmtId="3" fontId="28" fillId="28" borderId="19" xfId="0" applyNumberFormat="1" applyFont="1" applyFill="1" applyBorder="1" applyAlignment="1">
      <alignment horizontal="center"/>
    </xf>
    <xf numFmtId="3" fontId="21" fillId="26" borderId="20" xfId="0" applyNumberFormat="1" applyFont="1" applyFill="1" applyBorder="1" applyAlignment="1">
      <alignment horizontal="center" vertical="center"/>
    </xf>
    <xf numFmtId="3" fontId="21" fillId="26" borderId="19" xfId="0" applyNumberFormat="1" applyFont="1" applyFill="1" applyBorder="1" applyAlignment="1">
      <alignment horizontal="center" vertical="center"/>
    </xf>
    <xf numFmtId="3" fontId="26" fillId="28" borderId="19" xfId="51" applyNumberFormat="1" applyFont="1" applyFill="1" applyBorder="1" applyAlignment="1">
      <alignment horizontal="center" vertical="center"/>
    </xf>
    <xf numFmtId="3" fontId="26" fillId="28" borderId="24" xfId="51" applyNumberFormat="1" applyFont="1" applyFill="1" applyBorder="1" applyAlignment="1">
      <alignment horizontal="center" vertical="center"/>
    </xf>
    <xf numFmtId="3" fontId="28" fillId="28" borderId="24" xfId="51" applyNumberFormat="1" applyFont="1" applyFill="1" applyBorder="1" applyAlignment="1">
      <alignment horizontal="center" vertical="center"/>
    </xf>
    <xf numFmtId="0" fontId="22" fillId="0" borderId="17" xfId="0" applyFont="1" applyBorder="1" applyAlignment="1">
      <alignment horizontal="left" indent="1"/>
    </xf>
    <xf numFmtId="0" fontId="26" fillId="28" borderId="24" xfId="0" applyFont="1" applyFill="1" applyBorder="1"/>
    <xf numFmtId="0" fontId="22" fillId="29" borderId="24" xfId="0" applyFont="1" applyFill="1" applyBorder="1"/>
    <xf numFmtId="172" fontId="27" fillId="25" borderId="33" xfId="0" applyNumberFormat="1" applyFont="1" applyFill="1" applyBorder="1" applyAlignment="1">
      <alignment horizontal="center" vertical="center"/>
    </xf>
    <xf numFmtId="165" fontId="22" fillId="26" borderId="12" xfId="33" applyNumberFormat="1" applyFont="1" applyFill="1" applyBorder="1" applyAlignment="1">
      <alignment horizontal="center" vertical="center"/>
    </xf>
    <xf numFmtId="165" fontId="22" fillId="0" borderId="0" xfId="33" applyNumberFormat="1" applyFont="1" applyAlignment="1">
      <alignment horizontal="center" vertical="center"/>
    </xf>
    <xf numFmtId="168" fontId="21" fillId="26" borderId="0" xfId="0" applyNumberFormat="1" applyFont="1" applyFill="1" applyAlignment="1">
      <alignment horizontal="center" vertical="center"/>
    </xf>
    <xf numFmtId="0" fontId="0" fillId="0" borderId="0" xfId="0" applyAlignment="1">
      <alignment horizontal="center" vertical="center"/>
    </xf>
    <xf numFmtId="0" fontId="26" fillId="28" borderId="16" xfId="0" applyFont="1" applyFill="1" applyBorder="1" applyAlignment="1">
      <alignment horizontal="center" vertical="center"/>
    </xf>
    <xf numFmtId="0" fontId="26" fillId="26" borderId="24" xfId="0" applyFont="1" applyFill="1" applyBorder="1" applyAlignment="1">
      <alignment horizontal="center" vertical="center"/>
    </xf>
    <xf numFmtId="0" fontId="21" fillId="24" borderId="16" xfId="0" applyFont="1" applyFill="1" applyBorder="1" applyAlignment="1">
      <alignment horizontal="center" vertical="center"/>
    </xf>
    <xf numFmtId="3" fontId="22" fillId="34" borderId="0" xfId="0" applyNumberFormat="1" applyFont="1" applyFill="1" applyAlignment="1">
      <alignment horizontal="center" vertical="center"/>
    </xf>
    <xf numFmtId="3" fontId="22" fillId="34" borderId="11" xfId="0" applyNumberFormat="1" applyFont="1" applyFill="1" applyBorder="1" applyAlignment="1">
      <alignment horizontal="center" vertical="center"/>
    </xf>
    <xf numFmtId="3" fontId="28" fillId="34" borderId="19" xfId="0" applyNumberFormat="1" applyFont="1" applyFill="1" applyBorder="1" applyAlignment="1">
      <alignment horizontal="center" vertical="center"/>
    </xf>
    <xf numFmtId="3" fontId="28" fillId="34" borderId="20" xfId="0" applyNumberFormat="1" applyFont="1" applyFill="1" applyBorder="1" applyAlignment="1">
      <alignment horizontal="center" vertical="center"/>
    </xf>
    <xf numFmtId="3" fontId="22" fillId="34" borderId="23" xfId="0" applyNumberFormat="1" applyFont="1" applyFill="1" applyBorder="1" applyAlignment="1">
      <alignment horizontal="center" vertical="center"/>
    </xf>
    <xf numFmtId="3" fontId="22" fillId="34" borderId="21" xfId="0" applyNumberFormat="1" applyFont="1" applyFill="1" applyBorder="1" applyAlignment="1">
      <alignment horizontal="center" vertical="center"/>
    </xf>
    <xf numFmtId="3" fontId="29" fillId="0" borderId="0" xfId="0" applyNumberFormat="1" applyFont="1" applyAlignment="1">
      <alignment horizontal="center"/>
    </xf>
    <xf numFmtId="3" fontId="29" fillId="34" borderId="0" xfId="0" applyNumberFormat="1" applyFont="1" applyFill="1" applyAlignment="1">
      <alignment horizontal="center"/>
    </xf>
    <xf numFmtId="3" fontId="29" fillId="34" borderId="35" xfId="0" applyNumberFormat="1" applyFont="1" applyFill="1" applyBorder="1" applyAlignment="1">
      <alignment horizontal="center"/>
    </xf>
    <xf numFmtId="3" fontId="29" fillId="34" borderId="11" xfId="0" applyNumberFormat="1" applyFont="1" applyFill="1" applyBorder="1" applyAlignment="1">
      <alignment horizontal="center"/>
    </xf>
    <xf numFmtId="3" fontId="22" fillId="34" borderId="0" xfId="0" applyNumberFormat="1" applyFont="1" applyFill="1" applyAlignment="1">
      <alignment horizontal="center"/>
    </xf>
    <xf numFmtId="3" fontId="22" fillId="34" borderId="11" xfId="0" applyNumberFormat="1" applyFont="1" applyFill="1" applyBorder="1" applyAlignment="1">
      <alignment horizontal="center"/>
    </xf>
    <xf numFmtId="3" fontId="22" fillId="0" borderId="36" xfId="0" applyNumberFormat="1" applyFont="1" applyBorder="1" applyAlignment="1">
      <alignment horizontal="center" vertical="center"/>
    </xf>
    <xf numFmtId="3" fontId="22" fillId="34" borderId="23" xfId="0" applyNumberFormat="1" applyFont="1" applyFill="1" applyBorder="1" applyAlignment="1">
      <alignment horizontal="center"/>
    </xf>
    <xf numFmtId="3" fontId="22" fillId="34" borderId="13" xfId="0" applyNumberFormat="1" applyFont="1" applyFill="1" applyBorder="1" applyAlignment="1">
      <alignment horizontal="center"/>
    </xf>
    <xf numFmtId="175" fontId="22" fillId="24" borderId="13" xfId="0" applyNumberFormat="1" applyFont="1" applyFill="1" applyBorder="1" applyAlignment="1">
      <alignment horizontal="center"/>
    </xf>
    <xf numFmtId="2" fontId="22" fillId="34" borderId="0" xfId="0" applyNumberFormat="1" applyFont="1" applyFill="1"/>
    <xf numFmtId="2" fontId="22" fillId="34" borderId="12" xfId="0" applyNumberFormat="1" applyFont="1" applyFill="1" applyBorder="1"/>
    <xf numFmtId="2" fontId="22" fillId="34" borderId="23" xfId="0" applyNumberFormat="1" applyFont="1" applyFill="1" applyBorder="1"/>
    <xf numFmtId="2" fontId="22" fillId="34" borderId="18" xfId="0" applyNumberFormat="1" applyFont="1" applyFill="1" applyBorder="1"/>
    <xf numFmtId="175" fontId="22" fillId="34" borderId="0" xfId="0" applyNumberFormat="1" applyFont="1" applyFill="1" applyAlignment="1">
      <alignment horizontal="center"/>
    </xf>
    <xf numFmtId="175" fontId="22" fillId="34" borderId="35" xfId="0" applyNumberFormat="1" applyFont="1" applyFill="1" applyBorder="1" applyAlignment="1">
      <alignment horizontal="center"/>
    </xf>
    <xf numFmtId="175" fontId="21" fillId="24" borderId="19" xfId="0" applyNumberFormat="1" applyFont="1" applyFill="1" applyBorder="1" applyAlignment="1">
      <alignment horizontal="center" vertical="center"/>
    </xf>
    <xf numFmtId="0" fontId="21" fillId="24" borderId="24" xfId="0" applyFont="1" applyFill="1" applyBorder="1" applyAlignment="1">
      <alignment horizontal="left"/>
    </xf>
    <xf numFmtId="172" fontId="24" fillId="25" borderId="0" xfId="0" applyNumberFormat="1" applyFont="1" applyFill="1" applyAlignment="1">
      <alignment horizontal="center"/>
    </xf>
    <xf numFmtId="172" fontId="24" fillId="25" borderId="23" xfId="0" applyNumberFormat="1" applyFont="1" applyFill="1" applyBorder="1" applyAlignment="1">
      <alignment horizontal="center"/>
    </xf>
    <xf numFmtId="0" fontId="22" fillId="34" borderId="12" xfId="0" applyFont="1" applyFill="1" applyBorder="1" applyAlignment="1">
      <alignment horizontal="left"/>
    </xf>
    <xf numFmtId="0" fontId="22" fillId="34" borderId="12" xfId="0" applyFont="1" applyFill="1" applyBorder="1" applyAlignment="1">
      <alignment horizontal="left" indent="1"/>
    </xf>
    <xf numFmtId="0" fontId="22" fillId="34" borderId="18" xfId="0" applyFont="1" applyFill="1" applyBorder="1" applyAlignment="1">
      <alignment horizontal="left" indent="1"/>
    </xf>
    <xf numFmtId="3" fontId="22" fillId="34" borderId="35" xfId="0" applyNumberFormat="1" applyFont="1" applyFill="1" applyBorder="1" applyAlignment="1">
      <alignment horizontal="center"/>
    </xf>
    <xf numFmtId="3" fontId="22" fillId="34" borderId="36" xfId="0" applyNumberFormat="1" applyFont="1" applyFill="1" applyBorder="1" applyAlignment="1">
      <alignment horizontal="center"/>
    </xf>
    <xf numFmtId="3" fontId="21" fillId="34" borderId="19" xfId="0" applyNumberFormat="1" applyFont="1" applyFill="1" applyBorder="1" applyAlignment="1">
      <alignment horizontal="center" vertical="center"/>
    </xf>
    <xf numFmtId="3" fontId="21" fillId="34" borderId="20" xfId="0" applyNumberFormat="1" applyFont="1" applyFill="1" applyBorder="1" applyAlignment="1">
      <alignment horizontal="center" vertical="center"/>
    </xf>
    <xf numFmtId="3" fontId="29" fillId="24" borderId="17" xfId="0" applyNumberFormat="1" applyFont="1" applyFill="1" applyBorder="1" applyAlignment="1">
      <alignment horizontal="center" vertical="center"/>
    </xf>
    <xf numFmtId="3" fontId="29" fillId="24" borderId="11" xfId="0" applyNumberFormat="1" applyFont="1" applyFill="1" applyBorder="1" applyAlignment="1">
      <alignment horizontal="center"/>
    </xf>
    <xf numFmtId="0" fontId="29" fillId="26" borderId="0" xfId="0" applyFont="1" applyFill="1"/>
    <xf numFmtId="3" fontId="22" fillId="0" borderId="11" xfId="0" applyNumberFormat="1" applyFont="1" applyBorder="1" applyAlignment="1">
      <alignment horizontal="center" wrapText="1"/>
    </xf>
    <xf numFmtId="3" fontId="22" fillId="0" borderId="0" xfId="0" applyNumberFormat="1" applyFont="1" applyAlignment="1">
      <alignment horizontal="center" wrapText="1"/>
    </xf>
    <xf numFmtId="0" fontId="29" fillId="26" borderId="12" xfId="0" applyFont="1" applyFill="1" applyBorder="1" applyAlignment="1">
      <alignment horizontal="left"/>
    </xf>
    <xf numFmtId="3" fontId="29" fillId="0" borderId="0" xfId="0" applyNumberFormat="1" applyFont="1" applyAlignment="1">
      <alignment horizontal="center" wrapText="1"/>
    </xf>
    <xf numFmtId="3" fontId="29" fillId="0" borderId="11" xfId="0" applyNumberFormat="1" applyFont="1" applyBorder="1" applyAlignment="1">
      <alignment horizontal="center" wrapText="1"/>
    </xf>
    <xf numFmtId="3" fontId="29" fillId="24" borderId="12" xfId="0" applyNumberFormat="1" applyFont="1" applyFill="1" applyBorder="1" applyAlignment="1">
      <alignment horizontal="center" wrapText="1"/>
    </xf>
    <xf numFmtId="169" fontId="22" fillId="0" borderId="0" xfId="0" applyNumberFormat="1" applyFont="1" applyAlignment="1">
      <alignment horizontal="center" vertical="center"/>
    </xf>
    <xf numFmtId="169" fontId="41" fillId="0" borderId="0" xfId="0" applyNumberFormat="1" applyFont="1" applyAlignment="1">
      <alignment horizontal="center" vertical="center"/>
    </xf>
    <xf numFmtId="0" fontId="29" fillId="26" borderId="12" xfId="0" applyFont="1" applyFill="1" applyBorder="1" applyAlignment="1">
      <alignment horizontal="center" vertical="center" wrapText="1"/>
    </xf>
    <xf numFmtId="3" fontId="29" fillId="24" borderId="11" xfId="0" applyNumberFormat="1" applyFont="1" applyFill="1" applyBorder="1" applyAlignment="1">
      <alignment horizontal="center" vertical="center"/>
    </xf>
    <xf numFmtId="3" fontId="29" fillId="32" borderId="12" xfId="0" applyNumberFormat="1" applyFont="1" applyFill="1" applyBorder="1" applyAlignment="1">
      <alignment horizontal="center" vertical="center" wrapText="1"/>
    </xf>
    <xf numFmtId="0" fontId="29" fillId="27" borderId="10" xfId="0" applyFont="1" applyFill="1" applyBorder="1" applyAlignment="1">
      <alignment horizontal="left" vertical="center" indent="1"/>
    </xf>
    <xf numFmtId="0" fontId="29" fillId="27" borderId="12" xfId="0" applyFont="1" applyFill="1" applyBorder="1" applyAlignment="1">
      <alignment horizontal="center" vertical="center" wrapText="1"/>
    </xf>
    <xf numFmtId="3" fontId="29" fillId="34" borderId="0" xfId="0" applyNumberFormat="1" applyFont="1" applyFill="1" applyAlignment="1">
      <alignment horizontal="center" vertical="center"/>
    </xf>
    <xf numFmtId="3" fontId="29" fillId="34" borderId="11" xfId="0" applyNumberFormat="1" applyFont="1" applyFill="1" applyBorder="1" applyAlignment="1">
      <alignment horizontal="center" vertical="center"/>
    </xf>
    <xf numFmtId="3" fontId="29" fillId="0" borderId="0" xfId="0" applyNumberFormat="1" applyFont="1" applyAlignment="1">
      <alignment horizontal="center" vertical="center"/>
    </xf>
    <xf numFmtId="3" fontId="29" fillId="0" borderId="11" xfId="0" applyNumberFormat="1" applyFont="1" applyBorder="1" applyAlignment="1">
      <alignment horizontal="center" vertical="center"/>
    </xf>
    <xf numFmtId="0" fontId="23" fillId="25" borderId="35" xfId="0" applyFont="1" applyFill="1" applyBorder="1" applyAlignment="1">
      <alignment horizontal="center" vertical="center" wrapText="1"/>
    </xf>
    <xf numFmtId="175" fontId="28" fillId="28" borderId="19" xfId="0" applyNumberFormat="1" applyFont="1" applyFill="1" applyBorder="1" applyAlignment="1">
      <alignment horizontal="center"/>
    </xf>
    <xf numFmtId="175" fontId="28" fillId="28" borderId="20" xfId="0" applyNumberFormat="1" applyFont="1" applyFill="1" applyBorder="1" applyAlignment="1">
      <alignment horizontal="center"/>
    </xf>
    <xf numFmtId="175" fontId="28" fillId="28" borderId="24" xfId="0" applyNumberFormat="1" applyFont="1" applyFill="1" applyBorder="1" applyAlignment="1">
      <alignment horizontal="center"/>
    </xf>
    <xf numFmtId="0" fontId="29" fillId="0" borderId="12" xfId="0" applyFont="1" applyBorder="1"/>
    <xf numFmtId="3" fontId="29" fillId="26" borderId="12" xfId="0" applyNumberFormat="1" applyFont="1" applyFill="1" applyBorder="1" applyAlignment="1">
      <alignment horizontal="center" vertical="center"/>
    </xf>
    <xf numFmtId="3" fontId="29" fillId="24" borderId="12" xfId="0" applyNumberFormat="1" applyFont="1" applyFill="1" applyBorder="1" applyAlignment="1">
      <alignment horizontal="center" vertical="center"/>
    </xf>
    <xf numFmtId="3" fontId="29" fillId="32" borderId="12" xfId="0" applyNumberFormat="1" applyFont="1" applyFill="1" applyBorder="1" applyAlignment="1">
      <alignment horizontal="center"/>
    </xf>
    <xf numFmtId="175" fontId="29" fillId="24" borderId="12" xfId="0" applyNumberFormat="1" applyFont="1" applyFill="1" applyBorder="1" applyAlignment="1">
      <alignment horizontal="center" vertical="center"/>
    </xf>
    <xf numFmtId="0" fontId="43" fillId="0" borderId="0" xfId="0" applyFont="1"/>
    <xf numFmtId="4" fontId="21" fillId="24" borderId="16" xfId="0" applyNumberFormat="1" applyFont="1" applyFill="1" applyBorder="1" applyAlignment="1">
      <alignment horizontal="center" vertical="center" wrapText="1"/>
    </xf>
    <xf numFmtId="10" fontId="21" fillId="24" borderId="19" xfId="37" applyNumberFormat="1" applyFont="1" applyFill="1" applyBorder="1" applyAlignment="1">
      <alignment horizontal="center" vertical="center"/>
    </xf>
    <xf numFmtId="4" fontId="21" fillId="24" borderId="20" xfId="0" applyNumberFormat="1" applyFont="1" applyFill="1" applyBorder="1" applyAlignment="1">
      <alignment horizontal="center" vertical="center"/>
    </xf>
    <xf numFmtId="4" fontId="28" fillId="28" borderId="16" xfId="0" applyNumberFormat="1" applyFont="1" applyFill="1" applyBorder="1" applyAlignment="1">
      <alignment horizontal="center" vertical="center"/>
    </xf>
    <xf numFmtId="10" fontId="28" fillId="28" borderId="19" xfId="0" applyNumberFormat="1" applyFont="1" applyFill="1" applyBorder="1" applyAlignment="1">
      <alignment horizontal="center" vertical="center"/>
    </xf>
    <xf numFmtId="4" fontId="28" fillId="28" borderId="20" xfId="0" applyNumberFormat="1" applyFont="1" applyFill="1" applyBorder="1" applyAlignment="1">
      <alignment horizontal="center" vertical="center"/>
    </xf>
    <xf numFmtId="4" fontId="22" fillId="34" borderId="0" xfId="0" applyNumberFormat="1" applyFont="1" applyFill="1" applyAlignment="1">
      <alignment horizontal="center" vertical="center"/>
    </xf>
    <xf numFmtId="10" fontId="22" fillId="34" borderId="0" xfId="0" applyNumberFormat="1" applyFont="1" applyFill="1" applyAlignment="1">
      <alignment horizontal="center" vertical="center"/>
    </xf>
    <xf numFmtId="4" fontId="26" fillId="34" borderId="16" xfId="0" applyNumberFormat="1" applyFont="1" applyFill="1" applyBorder="1" applyAlignment="1">
      <alignment horizontal="center" vertical="center"/>
    </xf>
    <xf numFmtId="10" fontId="26" fillId="34" borderId="19" xfId="0" applyNumberFormat="1" applyFont="1" applyFill="1" applyBorder="1" applyAlignment="1">
      <alignment horizontal="center" vertical="center"/>
    </xf>
    <xf numFmtId="4" fontId="22" fillId="0" borderId="11" xfId="0" applyNumberFormat="1" applyFont="1" applyBorder="1" applyAlignment="1">
      <alignment horizontal="center" vertical="center"/>
    </xf>
    <xf numFmtId="4" fontId="26" fillId="28" borderId="20" xfId="0" applyNumberFormat="1" applyFont="1" applyFill="1" applyBorder="1" applyAlignment="1">
      <alignment horizontal="center" vertical="center"/>
    </xf>
    <xf numFmtId="175" fontId="22" fillId="34" borderId="0" xfId="0" applyNumberFormat="1" applyFont="1" applyFill="1" applyAlignment="1">
      <alignment horizontal="center" vertical="center"/>
    </xf>
    <xf numFmtId="175" fontId="22" fillId="34" borderId="11" xfId="0" applyNumberFormat="1" applyFont="1" applyFill="1" applyBorder="1" applyAlignment="1">
      <alignment horizontal="center" vertical="center"/>
    </xf>
    <xf numFmtId="175" fontId="29" fillId="34" borderId="0" xfId="0" applyNumberFormat="1" applyFont="1" applyFill="1" applyAlignment="1">
      <alignment horizontal="center" vertical="center"/>
    </xf>
    <xf numFmtId="175" fontId="29" fillId="34" borderId="11" xfId="0" applyNumberFormat="1" applyFont="1" applyFill="1" applyBorder="1" applyAlignment="1">
      <alignment horizontal="center" vertical="center"/>
    </xf>
    <xf numFmtId="175" fontId="28" fillId="34" borderId="19" xfId="0" applyNumberFormat="1" applyFont="1" applyFill="1" applyBorder="1" applyAlignment="1">
      <alignment horizontal="center"/>
    </xf>
    <xf numFmtId="175" fontId="28" fillId="34" borderId="20" xfId="0" applyNumberFormat="1" applyFont="1" applyFill="1" applyBorder="1" applyAlignment="1">
      <alignment horizontal="center"/>
    </xf>
    <xf numFmtId="3" fontId="28" fillId="34" borderId="19" xfId="0" applyNumberFormat="1" applyFont="1" applyFill="1" applyBorder="1" applyAlignment="1">
      <alignment horizontal="center"/>
    </xf>
    <xf numFmtId="3" fontId="28" fillId="34" borderId="20" xfId="0" applyNumberFormat="1" applyFont="1" applyFill="1" applyBorder="1" applyAlignment="1">
      <alignment horizontal="center"/>
    </xf>
    <xf numFmtId="164" fontId="26" fillId="28" borderId="24" xfId="33" applyNumberFormat="1" applyFont="1" applyFill="1" applyBorder="1" applyAlignment="1">
      <alignment horizontal="center" vertical="center" wrapText="1"/>
    </xf>
    <xf numFmtId="164" fontId="22" fillId="26" borderId="12" xfId="0" applyNumberFormat="1" applyFont="1" applyFill="1" applyBorder="1" applyAlignment="1">
      <alignment horizontal="center" vertical="center"/>
    </xf>
    <xf numFmtId="164" fontId="29" fillId="26" borderId="12" xfId="0" applyNumberFormat="1" applyFont="1" applyFill="1" applyBorder="1" applyAlignment="1">
      <alignment horizontal="center" vertical="center"/>
    </xf>
    <xf numFmtId="164" fontId="21" fillId="24" borderId="24" xfId="0" applyNumberFormat="1" applyFont="1" applyFill="1" applyBorder="1" applyAlignment="1">
      <alignment horizontal="center" vertical="center"/>
    </xf>
    <xf numFmtId="0" fontId="31" fillId="34" borderId="12" xfId="49" applyFont="1" applyFill="1" applyBorder="1" applyAlignment="1">
      <alignment horizontal="left" vertical="center" indent="1"/>
    </xf>
    <xf numFmtId="0" fontId="33" fillId="24" borderId="24" xfId="49" applyFont="1" applyFill="1" applyBorder="1" applyAlignment="1">
      <alignment vertical="center" wrapText="1"/>
    </xf>
    <xf numFmtId="3" fontId="33" fillId="24" borderId="16" xfId="49" applyNumberFormat="1" applyFont="1" applyFill="1" applyBorder="1" applyAlignment="1">
      <alignment horizontal="center" vertical="center" wrapText="1"/>
    </xf>
    <xf numFmtId="3" fontId="33" fillId="24" borderId="24" xfId="49" applyNumberFormat="1" applyFont="1" applyFill="1" applyBorder="1" applyAlignment="1">
      <alignment horizontal="center" vertical="center" wrapText="1"/>
    </xf>
    <xf numFmtId="3" fontId="31" fillId="34" borderId="10" xfId="49" applyNumberFormat="1" applyFont="1" applyFill="1" applyBorder="1" applyAlignment="1">
      <alignment horizontal="center" vertical="center" wrapText="1"/>
    </xf>
    <xf numFmtId="14" fontId="31" fillId="34" borderId="10" xfId="49" applyNumberFormat="1" applyFont="1" applyFill="1" applyBorder="1" applyAlignment="1">
      <alignment horizontal="center" vertical="center" wrapText="1"/>
    </xf>
    <xf numFmtId="3" fontId="31" fillId="34" borderId="12" xfId="49" applyNumberFormat="1" applyFont="1" applyFill="1" applyBorder="1" applyAlignment="1">
      <alignment horizontal="center" vertical="center" wrapText="1"/>
    </xf>
    <xf numFmtId="0" fontId="31" fillId="0" borderId="12" xfId="49" applyFont="1" applyBorder="1" applyAlignment="1">
      <alignment horizontal="left" vertical="center" indent="1"/>
    </xf>
    <xf numFmtId="3" fontId="31" fillId="34" borderId="21" xfId="49" applyNumberFormat="1" applyFont="1" applyFill="1" applyBorder="1" applyAlignment="1">
      <alignment horizontal="center" vertical="center" wrapText="1"/>
    </xf>
    <xf numFmtId="3" fontId="31" fillId="34" borderId="11" xfId="49" applyNumberFormat="1" applyFont="1" applyFill="1" applyBorder="1" applyAlignment="1">
      <alignment horizontal="center" vertical="center" wrapText="1"/>
    </xf>
    <xf numFmtId="3" fontId="31" fillId="34" borderId="0" xfId="49" applyNumberFormat="1" applyFont="1" applyFill="1" applyAlignment="1">
      <alignment horizontal="center" vertical="center" wrapText="1"/>
    </xf>
    <xf numFmtId="0" fontId="31" fillId="34" borderId="0" xfId="49" applyFont="1" applyFill="1" applyAlignment="1">
      <alignment wrapText="1"/>
    </xf>
    <xf numFmtId="0" fontId="31" fillId="34" borderId="11" xfId="49" applyFont="1" applyFill="1" applyBorder="1" applyAlignment="1">
      <alignment wrapText="1"/>
    </xf>
    <xf numFmtId="0" fontId="33" fillId="24" borderId="24" xfId="49" applyFont="1" applyFill="1" applyBorder="1" applyAlignment="1">
      <alignment horizontal="left" vertical="center" wrapText="1" indent="1"/>
    </xf>
    <xf numFmtId="3" fontId="33" fillId="24" borderId="19" xfId="49" applyNumberFormat="1" applyFont="1" applyFill="1" applyBorder="1" applyAlignment="1">
      <alignment horizontal="center" vertical="center" wrapText="1"/>
    </xf>
    <xf numFmtId="3" fontId="33" fillId="24" borderId="20" xfId="49" applyNumberFormat="1" applyFont="1" applyFill="1" applyBorder="1" applyAlignment="1">
      <alignment horizontal="center" vertical="center" wrapText="1"/>
    </xf>
    <xf numFmtId="3" fontId="29" fillId="34" borderId="21" xfId="0" applyNumberFormat="1" applyFont="1" applyFill="1" applyBorder="1" applyAlignment="1">
      <alignment horizontal="center" vertical="center"/>
    </xf>
    <xf numFmtId="3" fontId="29" fillId="34" borderId="22" xfId="0" applyNumberFormat="1" applyFont="1" applyFill="1" applyBorder="1" applyAlignment="1">
      <alignment horizontal="center" vertical="center"/>
    </xf>
    <xf numFmtId="3" fontId="29" fillId="34" borderId="23" xfId="0" applyNumberFormat="1" applyFont="1" applyFill="1" applyBorder="1" applyAlignment="1">
      <alignment horizontal="center" vertical="center"/>
    </xf>
    <xf numFmtId="3" fontId="29" fillId="34" borderId="13" xfId="0" applyNumberFormat="1" applyFont="1" applyFill="1" applyBorder="1" applyAlignment="1">
      <alignment horizontal="center" vertical="center"/>
    </xf>
    <xf numFmtId="173" fontId="22" fillId="24" borderId="21" xfId="51" applyNumberFormat="1" applyFont="1" applyFill="1" applyBorder="1" applyAlignment="1">
      <alignment horizontal="right" vertical="center" indent="1"/>
    </xf>
    <xf numFmtId="173" fontId="22" fillId="24" borderId="17" xfId="51" applyNumberFormat="1" applyFont="1" applyFill="1" applyBorder="1" applyAlignment="1">
      <alignment horizontal="right" vertical="center"/>
    </xf>
    <xf numFmtId="173" fontId="22" fillId="24" borderId="12" xfId="51" applyNumberFormat="1" applyFont="1" applyFill="1" applyBorder="1" applyAlignment="1">
      <alignment horizontal="right"/>
    </xf>
    <xf numFmtId="173" fontId="30" fillId="24" borderId="24" xfId="51" applyNumberFormat="1" applyFont="1" applyFill="1" applyBorder="1" applyAlignment="1">
      <alignment horizontal="right" vertical="center"/>
    </xf>
    <xf numFmtId="173" fontId="26" fillId="28" borderId="19" xfId="51" applyNumberFormat="1" applyFont="1" applyFill="1" applyBorder="1"/>
    <xf numFmtId="173" fontId="26" fillId="28" borderId="24" xfId="51" applyNumberFormat="1" applyFont="1" applyFill="1" applyBorder="1" applyAlignment="1">
      <alignment horizontal="right"/>
    </xf>
    <xf numFmtId="0" fontId="30" fillId="24" borderId="34" xfId="0" applyFont="1" applyFill="1" applyBorder="1" applyAlignment="1">
      <alignment horizontal="left" vertical="center"/>
    </xf>
    <xf numFmtId="0" fontId="30" fillId="24" borderId="17" xfId="0" applyFont="1" applyFill="1" applyBorder="1" applyAlignment="1">
      <alignment horizontal="left" vertical="center" wrapText="1"/>
    </xf>
    <xf numFmtId="173" fontId="30" fillId="24" borderId="34" xfId="51" applyNumberFormat="1" applyFont="1" applyFill="1" applyBorder="1" applyAlignment="1">
      <alignment horizontal="right" vertical="center"/>
    </xf>
    <xf numFmtId="173" fontId="30" fillId="24" borderId="35" xfId="51" applyNumberFormat="1" applyFont="1" applyFill="1" applyBorder="1" applyAlignment="1">
      <alignment horizontal="right" vertical="center"/>
    </xf>
    <xf numFmtId="173" fontId="30" fillId="24" borderId="36" xfId="51" applyNumberFormat="1" applyFont="1" applyFill="1" applyBorder="1" applyAlignment="1">
      <alignment horizontal="right" vertical="center"/>
    </xf>
    <xf numFmtId="173" fontId="21" fillId="24" borderId="34" xfId="51" applyNumberFormat="1" applyFont="1" applyFill="1" applyBorder="1" applyAlignment="1">
      <alignment horizontal="right" vertical="center" indent="1"/>
    </xf>
    <xf numFmtId="173" fontId="21" fillId="24" borderId="17" xfId="51" applyNumberFormat="1" applyFont="1" applyFill="1" applyBorder="1" applyAlignment="1">
      <alignment horizontal="right" vertical="center"/>
    </xf>
    <xf numFmtId="0" fontId="28" fillId="28" borderId="24" xfId="0" applyFont="1" applyFill="1" applyBorder="1"/>
    <xf numFmtId="173" fontId="26" fillId="28" borderId="16" xfId="51" applyNumberFormat="1" applyFont="1" applyFill="1" applyBorder="1"/>
    <xf numFmtId="173" fontId="26" fillId="28" borderId="20" xfId="51" applyNumberFormat="1" applyFont="1" applyFill="1" applyBorder="1"/>
    <xf numFmtId="173" fontId="26" fillId="34" borderId="16" xfId="51" applyNumberFormat="1" applyFont="1" applyFill="1" applyBorder="1"/>
    <xf numFmtId="173" fontId="26" fillId="34" borderId="19" xfId="51" applyNumberFormat="1" applyFont="1" applyFill="1" applyBorder="1"/>
    <xf numFmtId="173" fontId="26" fillId="34" borderId="20" xfId="51" applyNumberFormat="1" applyFont="1" applyFill="1" applyBorder="1"/>
    <xf numFmtId="173" fontId="22" fillId="34" borderId="10" xfId="51" applyNumberFormat="1" applyFont="1" applyFill="1" applyBorder="1"/>
    <xf numFmtId="173" fontId="22" fillId="34" borderId="0" xfId="51" applyNumberFormat="1" applyFont="1" applyFill="1" applyBorder="1"/>
    <xf numFmtId="173" fontId="22" fillId="34" borderId="11" xfId="51" applyNumberFormat="1" applyFont="1" applyFill="1" applyBorder="1"/>
    <xf numFmtId="173" fontId="22" fillId="34" borderId="15" xfId="51" applyNumberFormat="1" applyFont="1" applyFill="1" applyBorder="1"/>
    <xf numFmtId="173" fontId="22" fillId="34" borderId="23" xfId="51" applyNumberFormat="1" applyFont="1" applyFill="1" applyBorder="1"/>
    <xf numFmtId="173" fontId="22" fillId="34" borderId="13" xfId="51" applyNumberFormat="1" applyFont="1" applyFill="1" applyBorder="1"/>
    <xf numFmtId="173" fontId="29" fillId="34" borderId="10" xfId="51" applyNumberFormat="1" applyFont="1" applyFill="1" applyBorder="1"/>
    <xf numFmtId="173" fontId="29" fillId="34" borderId="0" xfId="51" applyNumberFormat="1" applyFont="1" applyFill="1" applyBorder="1"/>
    <xf numFmtId="173" fontId="29" fillId="34" borderId="11" xfId="51" applyNumberFormat="1" applyFont="1" applyFill="1" applyBorder="1"/>
    <xf numFmtId="4" fontId="22" fillId="0" borderId="21" xfId="0" applyNumberFormat="1" applyFont="1" applyBorder="1" applyAlignment="1">
      <alignment horizontal="center" vertical="center"/>
    </xf>
    <xf numFmtId="4" fontId="22" fillId="0" borderId="36" xfId="0" applyNumberFormat="1" applyFont="1" applyBorder="1" applyAlignment="1">
      <alignment horizontal="center" vertical="center"/>
    </xf>
    <xf numFmtId="4" fontId="22" fillId="24" borderId="17" xfId="0" applyNumberFormat="1" applyFont="1" applyFill="1" applyBorder="1" applyAlignment="1">
      <alignment horizontal="center" vertical="center"/>
    </xf>
    <xf numFmtId="4" fontId="22" fillId="0" borderId="0" xfId="0" applyNumberFormat="1" applyFont="1" applyAlignment="1">
      <alignment horizontal="center" vertical="center"/>
    </xf>
    <xf numFmtId="4" fontId="22" fillId="24" borderId="12" xfId="0" applyNumberFormat="1" applyFont="1" applyFill="1" applyBorder="1" applyAlignment="1">
      <alignment horizontal="center" vertical="center"/>
    </xf>
    <xf numFmtId="4" fontId="22" fillId="0" borderId="23" xfId="0" applyNumberFormat="1" applyFont="1" applyBorder="1" applyAlignment="1">
      <alignment horizontal="center" vertical="center"/>
    </xf>
    <xf numFmtId="4" fontId="22" fillId="0" borderId="13" xfId="0" applyNumberFormat="1" applyFont="1" applyBorder="1" applyAlignment="1">
      <alignment horizontal="center" vertical="center"/>
    </xf>
    <xf numFmtId="4" fontId="22" fillId="24" borderId="18" xfId="0" applyNumberFormat="1" applyFont="1" applyFill="1" applyBorder="1" applyAlignment="1">
      <alignment horizontal="center" vertical="center"/>
    </xf>
    <xf numFmtId="0" fontId="41" fillId="35" borderId="0" xfId="0" applyFont="1" applyFill="1" applyAlignment="1">
      <alignment horizontal="center" vertical="center" wrapText="1"/>
    </xf>
    <xf numFmtId="1" fontId="41" fillId="35" borderId="0" xfId="0" applyNumberFormat="1" applyFont="1" applyFill="1" applyAlignment="1">
      <alignment horizontal="center" vertical="center"/>
    </xf>
    <xf numFmtId="0" fontId="7" fillId="0" borderId="0" xfId="49"/>
    <xf numFmtId="0" fontId="46" fillId="0" borderId="16" xfId="49" applyFont="1" applyBorder="1"/>
    <xf numFmtId="49" fontId="46" fillId="0" borderId="0" xfId="49" applyNumberFormat="1" applyFont="1" applyAlignment="1">
      <alignment horizontal="left" vertical="center"/>
    </xf>
    <xf numFmtId="0" fontId="46" fillId="0" borderId="0" xfId="49" applyFont="1"/>
    <xf numFmtId="0" fontId="31" fillId="0" borderId="0" xfId="49" applyFont="1" applyAlignment="1">
      <alignment wrapText="1"/>
    </xf>
    <xf numFmtId="3" fontId="22" fillId="32" borderId="24" xfId="0" applyNumberFormat="1" applyFont="1" applyFill="1" applyBorder="1" applyAlignment="1">
      <alignment horizontal="center" vertical="center"/>
    </xf>
    <xf numFmtId="3" fontId="22" fillId="32" borderId="17" xfId="0" applyNumberFormat="1" applyFont="1" applyFill="1" applyBorder="1" applyAlignment="1">
      <alignment horizontal="center" vertical="center"/>
    </xf>
    <xf numFmtId="3" fontId="22" fillId="32" borderId="18" xfId="0" applyNumberFormat="1" applyFont="1" applyFill="1" applyBorder="1" applyAlignment="1">
      <alignment horizontal="center" vertical="center"/>
    </xf>
    <xf numFmtId="3" fontId="22" fillId="32" borderId="24" xfId="0" applyNumberFormat="1" applyFont="1" applyFill="1" applyBorder="1" applyAlignment="1">
      <alignment horizontal="center" vertical="center" wrapText="1"/>
    </xf>
    <xf numFmtId="0" fontId="52" fillId="0" borderId="10" xfId="0" applyFont="1" applyBorder="1" applyAlignment="1">
      <alignment horizontal="left" vertical="center" indent="1"/>
    </xf>
    <xf numFmtId="3" fontId="22" fillId="36" borderId="0" xfId="0" applyNumberFormat="1" applyFont="1" applyFill="1" applyAlignment="1">
      <alignment horizontal="center" vertical="center"/>
    </xf>
    <xf numFmtId="3" fontId="22" fillId="36" borderId="11" xfId="0" applyNumberFormat="1" applyFont="1" applyFill="1" applyBorder="1" applyAlignment="1">
      <alignment horizontal="center" vertical="center"/>
    </xf>
    <xf numFmtId="165" fontId="22" fillId="26" borderId="18" xfId="33" applyNumberFormat="1" applyFont="1" applyFill="1" applyBorder="1" applyAlignment="1">
      <alignment horizontal="center" vertical="center"/>
    </xf>
    <xf numFmtId="3" fontId="22" fillId="37" borderId="0" xfId="0" applyNumberFormat="1" applyFont="1" applyFill="1" applyAlignment="1">
      <alignment horizontal="center" vertical="center"/>
    </xf>
    <xf numFmtId="3" fontId="22" fillId="37" borderId="14" xfId="0" applyNumberFormat="1" applyFont="1" applyFill="1" applyBorder="1" applyAlignment="1">
      <alignment horizontal="center" vertical="center"/>
    </xf>
    <xf numFmtId="3" fontId="22" fillId="37" borderId="10" xfId="0" applyNumberFormat="1" applyFont="1" applyFill="1" applyBorder="1" applyAlignment="1">
      <alignment horizontal="center" vertical="center"/>
    </xf>
    <xf numFmtId="3" fontId="22" fillId="37" borderId="33" xfId="0" applyNumberFormat="1" applyFont="1" applyFill="1" applyBorder="1" applyAlignment="1">
      <alignment horizontal="center" vertical="center"/>
    </xf>
    <xf numFmtId="3" fontId="28" fillId="39" borderId="16" xfId="0" applyNumberFormat="1" applyFont="1" applyFill="1" applyBorder="1" applyAlignment="1">
      <alignment horizontal="center" vertical="center"/>
    </xf>
    <xf numFmtId="3" fontId="29" fillId="37" borderId="10" xfId="0" applyNumberFormat="1" applyFont="1" applyFill="1" applyBorder="1" applyAlignment="1">
      <alignment horizontal="center" vertical="center"/>
    </xf>
    <xf numFmtId="3" fontId="21" fillId="40" borderId="16" xfId="0" applyNumberFormat="1" applyFont="1" applyFill="1" applyBorder="1" applyAlignment="1">
      <alignment horizontal="center" vertical="center"/>
    </xf>
    <xf numFmtId="3" fontId="31" fillId="37" borderId="10" xfId="49" applyNumberFormat="1" applyFont="1" applyFill="1" applyBorder="1" applyAlignment="1">
      <alignment horizontal="center" vertical="center" wrapText="1"/>
    </xf>
    <xf numFmtId="3" fontId="33" fillId="40" borderId="16" xfId="49" applyNumberFormat="1" applyFont="1" applyFill="1" applyBorder="1" applyAlignment="1">
      <alignment horizontal="center" vertical="center" wrapText="1"/>
    </xf>
    <xf numFmtId="3" fontId="21" fillId="40" borderId="19" xfId="0" applyNumberFormat="1" applyFont="1" applyFill="1" applyBorder="1" applyAlignment="1">
      <alignment horizontal="center" vertical="center"/>
    </xf>
    <xf numFmtId="3" fontId="28" fillId="39" borderId="16" xfId="0" applyNumberFormat="1" applyFont="1" applyFill="1" applyBorder="1" applyAlignment="1">
      <alignment horizontal="center"/>
    </xf>
    <xf numFmtId="3" fontId="28" fillId="37" borderId="16" xfId="0" applyNumberFormat="1" applyFont="1" applyFill="1" applyBorder="1" applyAlignment="1">
      <alignment horizontal="center"/>
    </xf>
    <xf numFmtId="175" fontId="28" fillId="39" borderId="16" xfId="0" applyNumberFormat="1" applyFont="1" applyFill="1" applyBorder="1" applyAlignment="1">
      <alignment horizontal="center"/>
    </xf>
    <xf numFmtId="175" fontId="22" fillId="37" borderId="10" xfId="0" applyNumberFormat="1" applyFont="1" applyFill="1" applyBorder="1" applyAlignment="1">
      <alignment horizontal="center" vertical="center"/>
    </xf>
    <xf numFmtId="175" fontId="29" fillId="37" borderId="10" xfId="0" applyNumberFormat="1" applyFont="1" applyFill="1" applyBorder="1" applyAlignment="1">
      <alignment horizontal="center" vertical="center"/>
    </xf>
    <xf numFmtId="175" fontId="28" fillId="37" borderId="16" xfId="0" applyNumberFormat="1" applyFont="1" applyFill="1" applyBorder="1" applyAlignment="1">
      <alignment horizontal="center"/>
    </xf>
    <xf numFmtId="175" fontId="21" fillId="40" borderId="16" xfId="0" applyNumberFormat="1" applyFont="1" applyFill="1" applyBorder="1" applyAlignment="1">
      <alignment horizontal="center" vertical="center"/>
    </xf>
    <xf numFmtId="3" fontId="22" fillId="37" borderId="21" xfId="0" applyNumberFormat="1" applyFont="1" applyFill="1" applyBorder="1" applyAlignment="1">
      <alignment horizontal="center" vertical="center"/>
    </xf>
    <xf numFmtId="3" fontId="22" fillId="41" borderId="0" xfId="0" applyNumberFormat="1" applyFont="1" applyFill="1" applyAlignment="1">
      <alignment horizontal="center" vertical="center"/>
    </xf>
    <xf numFmtId="3" fontId="29" fillId="41" borderId="0" xfId="0" applyNumberFormat="1" applyFont="1" applyFill="1" applyAlignment="1">
      <alignment horizontal="center" vertical="center"/>
    </xf>
    <xf numFmtId="3" fontId="29" fillId="37" borderId="0" xfId="0" applyNumberFormat="1" applyFont="1" applyFill="1" applyAlignment="1">
      <alignment horizontal="center" vertical="center"/>
    </xf>
    <xf numFmtId="3" fontId="28" fillId="42" borderId="19" xfId="0" applyNumberFormat="1" applyFont="1" applyFill="1" applyBorder="1" applyAlignment="1">
      <alignment horizontal="center"/>
    </xf>
    <xf numFmtId="3" fontId="28" fillId="42" borderId="20" xfId="0" applyNumberFormat="1" applyFont="1" applyFill="1" applyBorder="1" applyAlignment="1">
      <alignment horizontal="center"/>
    </xf>
    <xf numFmtId="3" fontId="22" fillId="37" borderId="34" xfId="0" applyNumberFormat="1" applyFont="1" applyFill="1" applyBorder="1" applyAlignment="1">
      <alignment horizontal="center"/>
    </xf>
    <xf numFmtId="3" fontId="22" fillId="37" borderId="10" xfId="0" applyNumberFormat="1" applyFont="1" applyFill="1" applyBorder="1" applyAlignment="1">
      <alignment horizontal="center"/>
    </xf>
    <xf numFmtId="3" fontId="22" fillId="37" borderId="23" xfId="0" applyNumberFormat="1" applyFont="1" applyFill="1" applyBorder="1" applyAlignment="1">
      <alignment horizontal="center"/>
    </xf>
    <xf numFmtId="3" fontId="22" fillId="37" borderId="0" xfId="0" applyNumberFormat="1" applyFont="1" applyFill="1" applyAlignment="1">
      <alignment horizontal="center"/>
    </xf>
    <xf numFmtId="3" fontId="29" fillId="37" borderId="0" xfId="0" applyNumberFormat="1" applyFont="1" applyFill="1" applyAlignment="1">
      <alignment horizontal="center"/>
    </xf>
    <xf numFmtId="175" fontId="22" fillId="37" borderId="0" xfId="0" applyNumberFormat="1" applyFont="1" applyFill="1" applyAlignment="1">
      <alignment horizontal="center"/>
    </xf>
    <xf numFmtId="3" fontId="21" fillId="43" borderId="16" xfId="0" applyNumberFormat="1" applyFont="1" applyFill="1" applyBorder="1" applyAlignment="1">
      <alignment horizontal="center" vertical="center"/>
    </xf>
    <xf numFmtId="3" fontId="21" fillId="37" borderId="16" xfId="0" applyNumberFormat="1" applyFont="1" applyFill="1" applyBorder="1" applyAlignment="1">
      <alignment horizontal="center" vertical="center"/>
    </xf>
    <xf numFmtId="3" fontId="22" fillId="41" borderId="10" xfId="0" applyNumberFormat="1" applyFont="1" applyFill="1" applyBorder="1" applyAlignment="1">
      <alignment horizontal="center" wrapText="1"/>
    </xf>
    <xf numFmtId="3" fontId="29" fillId="41" borderId="10" xfId="0" applyNumberFormat="1" applyFont="1" applyFill="1" applyBorder="1" applyAlignment="1">
      <alignment horizontal="center" wrapText="1"/>
    </xf>
    <xf numFmtId="3" fontId="22" fillId="41" borderId="0" xfId="0" applyNumberFormat="1" applyFont="1" applyFill="1" applyAlignment="1">
      <alignment horizontal="center"/>
    </xf>
    <xf numFmtId="3" fontId="29" fillId="41" borderId="0" xfId="0" applyNumberFormat="1" applyFont="1" applyFill="1" applyAlignment="1">
      <alignment horizontal="center"/>
    </xf>
    <xf numFmtId="3" fontId="26" fillId="39" borderId="16" xfId="0" applyNumberFormat="1" applyFont="1" applyFill="1" applyBorder="1" applyAlignment="1">
      <alignment horizontal="center" vertical="center"/>
    </xf>
    <xf numFmtId="3" fontId="28" fillId="37" borderId="16" xfId="0" applyNumberFormat="1" applyFont="1" applyFill="1" applyBorder="1" applyAlignment="1">
      <alignment horizontal="center" vertical="center"/>
    </xf>
    <xf numFmtId="4" fontId="22" fillId="41" borderId="21" xfId="0" applyNumberFormat="1" applyFont="1" applyFill="1" applyBorder="1" applyAlignment="1">
      <alignment horizontal="center" vertical="center"/>
    </xf>
    <xf numFmtId="4" fontId="22" fillId="41" borderId="0" xfId="0" applyNumberFormat="1" applyFont="1" applyFill="1" applyAlignment="1">
      <alignment horizontal="center" vertical="center"/>
    </xf>
    <xf numFmtId="4" fontId="22" fillId="41" borderId="33" xfId="0" applyNumberFormat="1" applyFont="1" applyFill="1" applyBorder="1" applyAlignment="1">
      <alignment horizontal="center" vertical="center"/>
    </xf>
    <xf numFmtId="3" fontId="26" fillId="39" borderId="19" xfId="0" applyNumberFormat="1" applyFont="1" applyFill="1" applyBorder="1" applyAlignment="1">
      <alignment horizontal="center" vertical="center"/>
    </xf>
    <xf numFmtId="3" fontId="26" fillId="39" borderId="23" xfId="0" applyNumberFormat="1" applyFont="1" applyFill="1" applyBorder="1" applyAlignment="1">
      <alignment horizontal="center" vertical="center"/>
    </xf>
    <xf numFmtId="3" fontId="22" fillId="41" borderId="21" xfId="0" applyNumberFormat="1" applyFont="1" applyFill="1" applyBorder="1" applyAlignment="1">
      <alignment horizontal="center" vertical="center"/>
    </xf>
    <xf numFmtId="3" fontId="22" fillId="41" borderId="23" xfId="0" applyNumberFormat="1" applyFont="1" applyFill="1" applyBorder="1" applyAlignment="1">
      <alignment horizontal="center" vertical="center"/>
    </xf>
    <xf numFmtId="0" fontId="25" fillId="25" borderId="17" xfId="0" applyFont="1" applyFill="1" applyBorder="1" applyAlignment="1">
      <alignment horizontal="center" vertical="center"/>
    </xf>
    <xf numFmtId="0" fontId="25" fillId="25" borderId="17" xfId="0" applyFont="1" applyFill="1" applyBorder="1" applyAlignment="1">
      <alignment horizontal="center" vertical="center" wrapText="1"/>
    </xf>
    <xf numFmtId="0" fontId="25" fillId="25" borderId="35" xfId="0" applyFont="1" applyFill="1" applyBorder="1" applyAlignment="1">
      <alignment horizontal="center" vertical="center"/>
    </xf>
    <xf numFmtId="3" fontId="22" fillId="0" borderId="35" xfId="0" applyNumberFormat="1" applyFont="1" applyBorder="1" applyAlignment="1">
      <alignment horizontal="center" vertical="center"/>
    </xf>
    <xf numFmtId="4" fontId="22" fillId="0" borderId="35" xfId="0" applyNumberFormat="1" applyFont="1" applyBorder="1" applyAlignment="1">
      <alignment horizontal="center" vertical="center"/>
    </xf>
    <xf numFmtId="3" fontId="29" fillId="34" borderId="35" xfId="0" applyNumberFormat="1" applyFont="1" applyFill="1" applyBorder="1" applyAlignment="1">
      <alignment horizontal="center" vertical="center"/>
    </xf>
    <xf numFmtId="3" fontId="22" fillId="24" borderId="12" xfId="0" applyNumberFormat="1" applyFont="1" applyFill="1" applyBorder="1" applyAlignment="1">
      <alignment horizontal="center"/>
    </xf>
    <xf numFmtId="175" fontId="22" fillId="24" borderId="12" xfId="0" applyNumberFormat="1" applyFont="1" applyFill="1" applyBorder="1" applyAlignment="1">
      <alignment horizontal="center"/>
    </xf>
    <xf numFmtId="175" fontId="22" fillId="24" borderId="18" xfId="0" applyNumberFormat="1" applyFont="1" applyFill="1" applyBorder="1" applyAlignment="1">
      <alignment horizontal="center"/>
    </xf>
    <xf numFmtId="9" fontId="22" fillId="0" borderId="0" xfId="0" applyNumberFormat="1" applyFont="1" applyAlignment="1">
      <alignment horizontal="center"/>
    </xf>
    <xf numFmtId="9" fontId="22" fillId="0" borderId="0" xfId="0" applyNumberFormat="1" applyFont="1"/>
    <xf numFmtId="0" fontId="52" fillId="0" borderId="0" xfId="0" applyFont="1"/>
    <xf numFmtId="3" fontId="52" fillId="0" borderId="0" xfId="0" applyNumberFormat="1" applyFont="1"/>
    <xf numFmtId="0" fontId="53" fillId="0" borderId="0" xfId="0" applyFont="1"/>
    <xf numFmtId="0" fontId="31" fillId="44" borderId="12" xfId="49" applyFont="1" applyFill="1" applyBorder="1" applyAlignment="1">
      <alignment horizontal="left" vertical="center" indent="1"/>
    </xf>
    <xf numFmtId="3" fontId="31" fillId="44" borderId="10" xfId="49" applyNumberFormat="1" applyFont="1" applyFill="1" applyBorder="1" applyAlignment="1">
      <alignment horizontal="center" vertical="center" wrapText="1"/>
    </xf>
    <xf numFmtId="14" fontId="31" fillId="44" borderId="10" xfId="49" applyNumberFormat="1" applyFont="1" applyFill="1" applyBorder="1" applyAlignment="1">
      <alignment horizontal="center" vertical="center" wrapText="1"/>
    </xf>
    <xf numFmtId="3" fontId="31" fillId="44" borderId="12" xfId="49" applyNumberFormat="1" applyFont="1" applyFill="1" applyBorder="1" applyAlignment="1">
      <alignment horizontal="center" vertical="center" wrapText="1"/>
    </xf>
    <xf numFmtId="3" fontId="33" fillId="45" borderId="16" xfId="49" applyNumberFormat="1" applyFont="1" applyFill="1" applyBorder="1" applyAlignment="1">
      <alignment horizontal="center" vertical="center" wrapText="1"/>
    </xf>
    <xf numFmtId="3" fontId="33" fillId="45" borderId="24" xfId="49" applyNumberFormat="1" applyFont="1" applyFill="1" applyBorder="1" applyAlignment="1">
      <alignment horizontal="center" vertical="center" wrapText="1"/>
    </xf>
    <xf numFmtId="3" fontId="31" fillId="37" borderId="0" xfId="49" applyNumberFormat="1" applyFont="1" applyFill="1" applyBorder="1" applyAlignment="1">
      <alignment horizontal="center" vertical="center" wrapText="1"/>
    </xf>
    <xf numFmtId="0" fontId="31" fillId="46" borderId="12" xfId="49" applyFont="1" applyFill="1" applyBorder="1" applyAlignment="1">
      <alignment horizontal="left" vertical="center" indent="1"/>
    </xf>
    <xf numFmtId="3" fontId="35" fillId="47" borderId="10" xfId="49" applyNumberFormat="1" applyFont="1" applyFill="1" applyBorder="1" applyAlignment="1">
      <alignment horizontal="center" vertical="center" wrapText="1"/>
    </xf>
    <xf numFmtId="0" fontId="31" fillId="47" borderId="12" xfId="49" applyFont="1" applyFill="1" applyBorder="1" applyAlignment="1">
      <alignment horizontal="left" vertical="center" indent="1"/>
    </xf>
    <xf numFmtId="3" fontId="31" fillId="44" borderId="0" xfId="49" applyNumberFormat="1" applyFont="1" applyFill="1" applyAlignment="1">
      <alignment horizontal="center" vertical="center" wrapText="1"/>
    </xf>
    <xf numFmtId="3" fontId="31" fillId="44" borderId="11" xfId="49" applyNumberFormat="1" applyFont="1" applyFill="1" applyBorder="1" applyAlignment="1">
      <alignment horizontal="center" vertical="center" wrapText="1"/>
    </xf>
    <xf numFmtId="3" fontId="31" fillId="34" borderId="35" xfId="49" applyNumberFormat="1" applyFont="1" applyFill="1" applyBorder="1" applyAlignment="1">
      <alignment horizontal="center" vertical="center" wrapText="1"/>
    </xf>
    <xf numFmtId="0" fontId="25" fillId="25" borderId="36" xfId="0" applyFont="1" applyFill="1" applyBorder="1" applyAlignment="1">
      <alignment horizontal="center" vertical="center"/>
    </xf>
    <xf numFmtId="3" fontId="31" fillId="34" borderId="0" xfId="49" applyNumberFormat="1" applyFont="1" applyFill="1" applyBorder="1" applyAlignment="1">
      <alignment horizontal="center" vertical="center" wrapText="1"/>
    </xf>
    <xf numFmtId="0" fontId="31" fillId="34" borderId="0" xfId="49" applyFont="1" applyFill="1" applyBorder="1" applyAlignment="1">
      <alignment wrapText="1"/>
    </xf>
    <xf numFmtId="0" fontId="29" fillId="46" borderId="10" xfId="0" applyFont="1" applyFill="1" applyBorder="1" applyAlignment="1">
      <alignment horizontal="left" indent="1"/>
    </xf>
    <xf numFmtId="3" fontId="22" fillId="34" borderId="35" xfId="0" applyNumberFormat="1" applyFont="1" applyFill="1" applyBorder="1" applyAlignment="1">
      <alignment horizontal="center" vertical="center"/>
    </xf>
    <xf numFmtId="3" fontId="22" fillId="34" borderId="36" xfId="0" applyNumberFormat="1" applyFont="1" applyFill="1" applyBorder="1" applyAlignment="1">
      <alignment horizontal="center" vertical="center"/>
    </xf>
    <xf numFmtId="3" fontId="22" fillId="34" borderId="0" xfId="0" applyNumberFormat="1" applyFont="1" applyFill="1" applyBorder="1" applyAlignment="1">
      <alignment horizontal="center" vertical="center"/>
    </xf>
    <xf numFmtId="3" fontId="22" fillId="0" borderId="0" xfId="0" applyNumberFormat="1" applyFont="1" applyBorder="1" applyAlignment="1">
      <alignment horizontal="center" vertical="center"/>
    </xf>
    <xf numFmtId="3" fontId="29" fillId="0" borderId="0" xfId="0" applyNumberFormat="1" applyFont="1" applyBorder="1" applyAlignment="1">
      <alignment horizontal="center" vertical="center"/>
    </xf>
    <xf numFmtId="3" fontId="29" fillId="34" borderId="0" xfId="0" applyNumberFormat="1" applyFont="1" applyFill="1" applyBorder="1" applyAlignment="1">
      <alignment horizontal="center" vertical="center"/>
    </xf>
    <xf numFmtId="3" fontId="22" fillId="36" borderId="0" xfId="0" applyNumberFormat="1" applyFont="1" applyFill="1" applyBorder="1" applyAlignment="1">
      <alignment horizontal="center" vertical="center"/>
    </xf>
    <xf numFmtId="3" fontId="22" fillId="34" borderId="13" xfId="0" applyNumberFormat="1" applyFont="1" applyFill="1" applyBorder="1" applyAlignment="1">
      <alignment horizontal="center" vertical="center"/>
    </xf>
    <xf numFmtId="3" fontId="29" fillId="34" borderId="0" xfId="0" applyNumberFormat="1" applyFont="1" applyFill="1" applyBorder="1" applyAlignment="1">
      <alignment horizontal="center"/>
    </xf>
    <xf numFmtId="3" fontId="22" fillId="34" borderId="0" xfId="0" applyNumberFormat="1" applyFont="1" applyFill="1" applyBorder="1" applyAlignment="1">
      <alignment horizontal="center"/>
    </xf>
    <xf numFmtId="3" fontId="21" fillId="47" borderId="19" xfId="0" applyNumberFormat="1" applyFont="1" applyFill="1" applyBorder="1" applyAlignment="1">
      <alignment horizontal="center" vertical="center"/>
    </xf>
    <xf numFmtId="172" fontId="24" fillId="25" borderId="0" xfId="0" applyNumberFormat="1" applyFont="1" applyFill="1" applyBorder="1" applyAlignment="1">
      <alignment horizontal="center"/>
    </xf>
    <xf numFmtId="0" fontId="0" fillId="0" borderId="0" xfId="0" applyBorder="1"/>
    <xf numFmtId="3" fontId="21" fillId="26" borderId="0" xfId="0" applyNumberFormat="1" applyFont="1" applyFill="1" applyBorder="1"/>
    <xf numFmtId="0" fontId="22" fillId="0" borderId="0" xfId="0" applyFont="1" applyBorder="1"/>
    <xf numFmtId="175" fontId="22" fillId="34" borderId="0" xfId="0" applyNumberFormat="1" applyFont="1" applyFill="1" applyBorder="1" applyAlignment="1">
      <alignment horizontal="center" vertical="center"/>
    </xf>
    <xf numFmtId="175" fontId="29" fillId="34" borderId="0" xfId="0" applyNumberFormat="1" applyFont="1" applyFill="1" applyBorder="1" applyAlignment="1">
      <alignment horizontal="center" vertical="center"/>
    </xf>
    <xf numFmtId="3" fontId="22" fillId="0" borderId="0" xfId="0" applyNumberFormat="1" applyFont="1" applyBorder="1"/>
    <xf numFmtId="3" fontId="29" fillId="0" borderId="0" xfId="0" applyNumberFormat="1" applyFont="1" applyBorder="1" applyAlignment="1">
      <alignment horizontal="center"/>
    </xf>
    <xf numFmtId="3" fontId="22" fillId="0" borderId="0" xfId="0" applyNumberFormat="1" applyFont="1" applyBorder="1" applyAlignment="1">
      <alignment horizontal="center"/>
    </xf>
    <xf numFmtId="3" fontId="22" fillId="0" borderId="0" xfId="0" applyNumberFormat="1" applyFont="1" applyBorder="1" applyAlignment="1">
      <alignment horizontal="center" wrapText="1"/>
    </xf>
    <xf numFmtId="3" fontId="29" fillId="0" borderId="0" xfId="0" applyNumberFormat="1" applyFont="1" applyBorder="1" applyAlignment="1">
      <alignment horizontal="center" wrapText="1"/>
    </xf>
    <xf numFmtId="0" fontId="25" fillId="25" borderId="17" xfId="0" applyFont="1" applyFill="1" applyBorder="1" applyAlignment="1">
      <alignment horizontal="center" vertical="center"/>
    </xf>
    <xf numFmtId="0" fontId="25" fillId="25" borderId="17" xfId="0" applyFont="1" applyFill="1" applyBorder="1" applyAlignment="1">
      <alignment horizontal="center" vertical="center" wrapText="1"/>
    </xf>
    <xf numFmtId="0" fontId="22" fillId="26" borderId="12" xfId="0" applyFont="1" applyFill="1" applyBorder="1" applyAlignment="1">
      <alignment horizontal="center" vertical="center"/>
    </xf>
    <xf numFmtId="170" fontId="21" fillId="0" borderId="0" xfId="0" applyNumberFormat="1" applyFont="1"/>
    <xf numFmtId="0" fontId="22" fillId="0" borderId="0" xfId="0" quotePrefix="1" applyFont="1"/>
    <xf numFmtId="4" fontId="54" fillId="0" borderId="0" xfId="0" applyNumberFormat="1" applyFont="1"/>
    <xf numFmtId="4" fontId="21" fillId="0" borderId="0" xfId="0" applyNumberFormat="1" applyFont="1"/>
    <xf numFmtId="0" fontId="55" fillId="0" borderId="0" xfId="0" applyFont="1"/>
    <xf numFmtId="0" fontId="56" fillId="0" borderId="0" xfId="0" applyFont="1"/>
    <xf numFmtId="0" fontId="22" fillId="31" borderId="0" xfId="52" applyFont="1" applyFill="1"/>
    <xf numFmtId="0" fontId="22" fillId="46" borderId="12" xfId="0" applyFont="1" applyFill="1" applyBorder="1"/>
    <xf numFmtId="3" fontId="29" fillId="48" borderId="0" xfId="0" applyNumberFormat="1" applyFont="1" applyFill="1" applyAlignment="1">
      <alignment horizontal="center" vertical="center"/>
    </xf>
    <xf numFmtId="3" fontId="22" fillId="49" borderId="12" xfId="0" applyNumberFormat="1" applyFont="1" applyFill="1" applyBorder="1" applyAlignment="1">
      <alignment horizontal="center" vertical="center"/>
    </xf>
    <xf numFmtId="0" fontId="26" fillId="50" borderId="24" xfId="0" applyFont="1" applyFill="1" applyBorder="1" applyAlignment="1">
      <alignment horizontal="left" vertical="center"/>
    </xf>
    <xf numFmtId="0" fontId="26" fillId="50" borderId="24" xfId="0" applyFont="1" applyFill="1" applyBorder="1" applyAlignment="1">
      <alignment horizontal="center" vertical="center"/>
    </xf>
    <xf numFmtId="3" fontId="21" fillId="50" borderId="16" xfId="0" applyNumberFormat="1" applyFont="1" applyFill="1" applyBorder="1" applyAlignment="1">
      <alignment horizontal="center" vertical="center"/>
    </xf>
    <xf numFmtId="3" fontId="21" fillId="50" borderId="19" xfId="0" applyNumberFormat="1" applyFont="1" applyFill="1" applyBorder="1" applyAlignment="1">
      <alignment horizontal="center" vertical="center"/>
    </xf>
    <xf numFmtId="3" fontId="21" fillId="50" borderId="24" xfId="0" applyNumberFormat="1" applyFont="1" applyFill="1" applyBorder="1" applyAlignment="1">
      <alignment horizontal="center" vertical="center"/>
    </xf>
    <xf numFmtId="3" fontId="29" fillId="48" borderId="12" xfId="0" applyNumberFormat="1" applyFont="1" applyFill="1" applyBorder="1" applyAlignment="1">
      <alignment horizontal="center" vertical="center"/>
    </xf>
    <xf numFmtId="3" fontId="29" fillId="48" borderId="18" xfId="0" applyNumberFormat="1" applyFont="1" applyFill="1" applyBorder="1" applyAlignment="1">
      <alignment horizontal="center" vertical="center"/>
    </xf>
    <xf numFmtId="3" fontId="22" fillId="49" borderId="18" xfId="0" applyNumberFormat="1" applyFont="1" applyFill="1" applyBorder="1" applyAlignment="1">
      <alignment horizontal="center" vertical="center"/>
    </xf>
    <xf numFmtId="170" fontId="22" fillId="0" borderId="0" xfId="0" applyNumberFormat="1" applyFont="1"/>
    <xf numFmtId="3" fontId="29" fillId="38" borderId="0" xfId="0" applyNumberFormat="1" applyFont="1" applyFill="1" applyAlignment="1">
      <alignment horizontal="center" vertical="center"/>
    </xf>
    <xf numFmtId="0" fontId="29" fillId="51" borderId="10" xfId="0" applyFont="1" applyFill="1" applyBorder="1" applyAlignment="1">
      <alignment horizontal="left" indent="1"/>
    </xf>
    <xf numFmtId="0" fontId="22" fillId="51" borderId="12" xfId="0" applyFont="1" applyFill="1" applyBorder="1" applyAlignment="1">
      <alignment vertical="center" wrapText="1"/>
    </xf>
    <xf numFmtId="3" fontId="22" fillId="51" borderId="0" xfId="0" applyNumberFormat="1" applyFont="1" applyFill="1" applyAlignment="1">
      <alignment horizontal="center" vertical="center"/>
    </xf>
    <xf numFmtId="3" fontId="22" fillId="51" borderId="11" xfId="0" applyNumberFormat="1" applyFont="1" applyFill="1" applyBorder="1" applyAlignment="1">
      <alignment horizontal="center" vertical="center"/>
    </xf>
    <xf numFmtId="0" fontId="25" fillId="25" borderId="17" xfId="0" applyFont="1" applyFill="1" applyBorder="1" applyAlignment="1">
      <alignment horizontal="center" vertical="center"/>
    </xf>
    <xf numFmtId="0" fontId="25" fillId="25" borderId="17" xfId="0" applyFont="1" applyFill="1" applyBorder="1" applyAlignment="1">
      <alignment horizontal="center" vertical="center" wrapText="1"/>
    </xf>
    <xf numFmtId="165" fontId="26" fillId="50" borderId="24" xfId="33" applyNumberFormat="1" applyFont="1" applyFill="1" applyBorder="1" applyAlignment="1">
      <alignment horizontal="center" vertical="center" wrapText="1"/>
    </xf>
    <xf numFmtId="3" fontId="28" fillId="52" borderId="16" xfId="0" applyNumberFormat="1" applyFont="1" applyFill="1" applyBorder="1" applyAlignment="1">
      <alignment horizontal="center" vertical="center"/>
    </xf>
    <xf numFmtId="3" fontId="28" fillId="50" borderId="19" xfId="0" applyNumberFormat="1" applyFont="1" applyFill="1" applyBorder="1" applyAlignment="1">
      <alignment horizontal="center" vertical="center"/>
    </xf>
    <xf numFmtId="3" fontId="28" fillId="50" borderId="20" xfId="0" applyNumberFormat="1" applyFont="1" applyFill="1" applyBorder="1" applyAlignment="1">
      <alignment horizontal="center" vertical="center"/>
    </xf>
    <xf numFmtId="3" fontId="28" fillId="50" borderId="24" xfId="51" applyNumberFormat="1" applyFont="1" applyFill="1" applyBorder="1" applyAlignment="1">
      <alignment horizontal="center" vertical="center"/>
    </xf>
    <xf numFmtId="3" fontId="22" fillId="41" borderId="0" xfId="0" applyNumberFormat="1" applyFont="1" applyFill="1" applyBorder="1" applyAlignment="1">
      <alignment horizontal="center" vertical="center"/>
    </xf>
    <xf numFmtId="0" fontId="22" fillId="50" borderId="12" xfId="0" applyFont="1" applyFill="1" applyBorder="1" applyAlignment="1">
      <alignment horizontal="left" indent="1"/>
    </xf>
    <xf numFmtId="0" fontId="22" fillId="50" borderId="12" xfId="0" applyFont="1" applyFill="1" applyBorder="1" applyAlignment="1">
      <alignment horizontal="center" vertical="center" wrapText="1"/>
    </xf>
    <xf numFmtId="3" fontId="22" fillId="52" borderId="0" xfId="0" applyNumberFormat="1" applyFont="1" applyFill="1" applyAlignment="1">
      <alignment horizontal="center" vertical="center"/>
    </xf>
    <xf numFmtId="3" fontId="22" fillId="50" borderId="0" xfId="0" applyNumberFormat="1" applyFont="1" applyFill="1" applyBorder="1" applyAlignment="1">
      <alignment horizontal="center" vertical="center"/>
    </xf>
    <xf numFmtId="3" fontId="22" fillId="50" borderId="11" xfId="0" applyNumberFormat="1" applyFont="1" applyFill="1" applyBorder="1" applyAlignment="1">
      <alignment horizontal="center" vertical="center"/>
    </xf>
    <xf numFmtId="3" fontId="0" fillId="0" borderId="0" xfId="0" applyNumberFormat="1"/>
    <xf numFmtId="3" fontId="58" fillId="0" borderId="35" xfId="0" applyNumberFormat="1" applyFont="1" applyBorder="1" applyAlignment="1">
      <alignment horizontal="center" vertical="center"/>
    </xf>
    <xf numFmtId="3" fontId="58" fillId="0" borderId="36" xfId="0" applyNumberFormat="1" applyFont="1" applyBorder="1" applyAlignment="1">
      <alignment horizontal="center" vertical="center"/>
    </xf>
    <xf numFmtId="3" fontId="58" fillId="0" borderId="0" xfId="0" applyNumberFormat="1" applyFont="1" applyAlignment="1">
      <alignment horizontal="center" vertical="center"/>
    </xf>
    <xf numFmtId="3" fontId="58" fillId="0" borderId="11" xfId="0" applyNumberFormat="1" applyFont="1" applyBorder="1" applyAlignment="1">
      <alignment horizontal="center" vertical="center"/>
    </xf>
    <xf numFmtId="0" fontId="58" fillId="0" borderId="23" xfId="0" applyFont="1" applyBorder="1" applyAlignment="1">
      <alignment horizontal="center" vertical="center"/>
    </xf>
    <xf numFmtId="0" fontId="58" fillId="0" borderId="13" xfId="0" applyFont="1" applyBorder="1" applyAlignment="1">
      <alignment horizontal="center" vertical="center"/>
    </xf>
    <xf numFmtId="173" fontId="22" fillId="0" borderId="0" xfId="0" applyNumberFormat="1" applyFont="1"/>
    <xf numFmtId="3" fontId="58" fillId="0" borderId="0" xfId="0" applyNumberFormat="1" applyFont="1" applyBorder="1" applyAlignment="1">
      <alignment horizontal="center" vertical="center"/>
    </xf>
    <xf numFmtId="10" fontId="22" fillId="0" borderId="0" xfId="0" applyNumberFormat="1" applyFont="1"/>
    <xf numFmtId="10" fontId="22" fillId="0" borderId="0" xfId="0" applyNumberFormat="1" applyFont="1" applyAlignment="1">
      <alignment horizontal="center" vertical="center"/>
    </xf>
    <xf numFmtId="0" fontId="25" fillId="25" borderId="17" xfId="0" applyFont="1" applyFill="1" applyBorder="1" applyAlignment="1">
      <alignment horizontal="center" vertical="center"/>
    </xf>
    <xf numFmtId="0" fontId="25" fillId="25" borderId="17" xfId="0" applyFont="1" applyFill="1" applyBorder="1" applyAlignment="1">
      <alignment horizontal="center" vertical="center" wrapText="1"/>
    </xf>
    <xf numFmtId="0" fontId="22" fillId="53" borderId="10" xfId="0" applyFont="1" applyFill="1" applyBorder="1" applyAlignment="1">
      <alignment horizontal="left" indent="1"/>
    </xf>
    <xf numFmtId="3" fontId="22" fillId="53" borderId="0" xfId="0" applyNumberFormat="1" applyFont="1" applyFill="1" applyAlignment="1">
      <alignment horizontal="center" vertical="center"/>
    </xf>
    <xf numFmtId="3" fontId="22" fillId="53" borderId="0" xfId="0" applyNumberFormat="1" applyFont="1" applyFill="1" applyBorder="1" applyAlignment="1">
      <alignment horizontal="center" vertical="center"/>
    </xf>
    <xf numFmtId="3" fontId="22" fillId="53" borderId="11" xfId="0" applyNumberFormat="1" applyFont="1" applyFill="1" applyBorder="1" applyAlignment="1">
      <alignment horizontal="center" vertical="center"/>
    </xf>
    <xf numFmtId="0" fontId="29" fillId="53" borderId="10" xfId="0" applyFont="1" applyFill="1" applyBorder="1" applyAlignment="1">
      <alignment horizontal="left" indent="1"/>
    </xf>
    <xf numFmtId="3" fontId="22" fillId="41" borderId="35" xfId="0" applyNumberFormat="1" applyFont="1" applyFill="1" applyBorder="1" applyAlignment="1">
      <alignment horizontal="center" vertical="center"/>
    </xf>
    <xf numFmtId="3" fontId="22" fillId="50" borderId="0" xfId="0" applyNumberFormat="1" applyFont="1" applyFill="1" applyAlignment="1">
      <alignment horizontal="center" vertical="center"/>
    </xf>
    <xf numFmtId="4" fontId="22" fillId="41" borderId="35" xfId="0" applyNumberFormat="1" applyFont="1" applyFill="1" applyBorder="1" applyAlignment="1">
      <alignment horizontal="center" vertical="center"/>
    </xf>
    <xf numFmtId="3" fontId="21" fillId="34" borderId="16" xfId="0" applyNumberFormat="1" applyFont="1" applyFill="1" applyBorder="1" applyAlignment="1">
      <alignment horizontal="center" vertical="center"/>
    </xf>
    <xf numFmtId="175" fontId="22" fillId="34" borderId="0" xfId="0" applyNumberFormat="1" applyFont="1" applyFill="1" applyBorder="1" applyAlignment="1">
      <alignment horizontal="center"/>
    </xf>
    <xf numFmtId="175" fontId="22" fillId="34" borderId="11" xfId="0" applyNumberFormat="1" applyFont="1" applyFill="1" applyBorder="1" applyAlignment="1">
      <alignment horizontal="center"/>
    </xf>
    <xf numFmtId="3" fontId="29" fillId="34" borderId="36" xfId="0" applyNumberFormat="1" applyFont="1" applyFill="1" applyBorder="1" applyAlignment="1">
      <alignment horizontal="center" vertical="center"/>
    </xf>
    <xf numFmtId="179" fontId="22" fillId="0" borderId="0" xfId="0" applyNumberFormat="1" applyFont="1"/>
    <xf numFmtId="0" fontId="25" fillId="25" borderId="17" xfId="0" applyFont="1" applyFill="1" applyBorder="1" applyAlignment="1">
      <alignment horizontal="center" vertical="center" wrapText="1"/>
    </xf>
    <xf numFmtId="0" fontId="22" fillId="0" borderId="34" xfId="0" applyFont="1" applyBorder="1"/>
    <xf numFmtId="0" fontId="22" fillId="0" borderId="33" xfId="0" applyFont="1" applyBorder="1"/>
    <xf numFmtId="3" fontId="22" fillId="24" borderId="33" xfId="0" applyNumberFormat="1" applyFont="1" applyFill="1" applyBorder="1" applyAlignment="1">
      <alignment horizontal="center" vertical="center"/>
    </xf>
    <xf numFmtId="0" fontId="31" fillId="34" borderId="12" xfId="49" applyFont="1" applyFill="1" applyBorder="1" applyAlignment="1">
      <alignment horizontal="left" vertical="center" wrapText="1" indent="1"/>
    </xf>
    <xf numFmtId="0" fontId="31" fillId="44" borderId="12" xfId="49" applyFont="1" applyFill="1" applyBorder="1" applyAlignment="1">
      <alignment horizontal="left" vertical="center" wrapText="1" indent="1"/>
    </xf>
    <xf numFmtId="0" fontId="31" fillId="0" borderId="0" xfId="49" applyFont="1" applyAlignment="1">
      <alignment horizontal="left" vertical="center" wrapText="1"/>
    </xf>
    <xf numFmtId="0" fontId="50" fillId="0" borderId="16" xfId="49" applyFont="1" applyBorder="1" applyAlignment="1">
      <alignment horizontal="center" vertical="center" wrapText="1"/>
    </xf>
    <xf numFmtId="0" fontId="50" fillId="0" borderId="19" xfId="49" applyFont="1" applyBorder="1" applyAlignment="1">
      <alignment horizontal="center" vertical="center" wrapText="1"/>
    </xf>
    <xf numFmtId="0" fontId="50" fillId="0" borderId="20" xfId="49" applyFont="1" applyBorder="1" applyAlignment="1">
      <alignment horizontal="center" vertical="center" wrapText="1"/>
    </xf>
    <xf numFmtId="0" fontId="31" fillId="34" borderId="19" xfId="49" applyFont="1" applyFill="1" applyBorder="1" applyAlignment="1">
      <alignment horizontal="center"/>
    </xf>
    <xf numFmtId="0" fontId="31" fillId="34" borderId="20" xfId="49" applyFont="1" applyFill="1" applyBorder="1" applyAlignment="1">
      <alignment horizontal="center"/>
    </xf>
    <xf numFmtId="0" fontId="46" fillId="0" borderId="0" xfId="49" applyFont="1" applyAlignment="1">
      <alignment horizontal="right" vertical="center"/>
    </xf>
    <xf numFmtId="0" fontId="47" fillId="0" borderId="0" xfId="49" applyFont="1" applyAlignment="1">
      <alignment horizontal="left"/>
    </xf>
    <xf numFmtId="0" fontId="49" fillId="0" borderId="16" xfId="49" applyFont="1" applyBorder="1" applyAlignment="1">
      <alignment horizontal="center"/>
    </xf>
    <xf numFmtId="0" fontId="49" fillId="0" borderId="19" xfId="49" applyFont="1" applyBorder="1" applyAlignment="1">
      <alignment horizontal="center"/>
    </xf>
    <xf numFmtId="0" fontId="49" fillId="0" borderId="20" xfId="49" applyFont="1" applyBorder="1" applyAlignment="1">
      <alignment horizontal="center"/>
    </xf>
    <xf numFmtId="0" fontId="48" fillId="34" borderId="16" xfId="49" applyFont="1" applyFill="1" applyBorder="1" applyAlignment="1">
      <alignment horizontal="center"/>
    </xf>
    <xf numFmtId="0" fontId="48" fillId="34" borderId="19" xfId="49" applyFont="1" applyFill="1" applyBorder="1" applyAlignment="1">
      <alignment horizontal="center"/>
    </xf>
    <xf numFmtId="0" fontId="48" fillId="34" borderId="20" xfId="49" applyFont="1" applyFill="1" applyBorder="1" applyAlignment="1">
      <alignment horizontal="center"/>
    </xf>
    <xf numFmtId="0" fontId="25" fillId="25" borderId="17" xfId="0" applyFont="1" applyFill="1" applyBorder="1" applyAlignment="1">
      <alignment horizontal="center" vertical="center"/>
    </xf>
    <xf numFmtId="0" fontId="25" fillId="25" borderId="18" xfId="0" applyFont="1" applyFill="1" applyBorder="1" applyAlignment="1">
      <alignment horizontal="center" vertical="center"/>
    </xf>
    <xf numFmtId="0" fontId="25" fillId="25" borderId="17" xfId="0" applyFont="1" applyFill="1" applyBorder="1" applyAlignment="1">
      <alignment horizontal="center" vertical="center" wrapText="1"/>
    </xf>
    <xf numFmtId="0" fontId="25" fillId="25" borderId="18" xfId="0" applyFont="1" applyFill="1" applyBorder="1" applyAlignment="1">
      <alignment horizontal="center" vertical="center" wrapText="1"/>
    </xf>
    <xf numFmtId="0" fontId="45" fillId="0" borderId="0" xfId="0" applyFont="1" applyAlignment="1">
      <alignment horizontal="center" vertical="center"/>
    </xf>
    <xf numFmtId="0" fontId="26" fillId="27" borderId="16" xfId="0" applyFont="1" applyFill="1" applyBorder="1" applyAlignment="1">
      <alignment horizontal="center" vertical="center" wrapText="1"/>
    </xf>
    <xf numFmtId="0" fontId="26" fillId="27" borderId="19" xfId="0" applyFont="1" applyFill="1" applyBorder="1" applyAlignment="1">
      <alignment horizontal="center" vertical="center" wrapText="1"/>
    </xf>
    <xf numFmtId="0" fontId="26" fillId="27" borderId="20" xfId="0" applyFont="1" applyFill="1" applyBorder="1" applyAlignment="1">
      <alignment horizontal="center" vertical="center" wrapText="1"/>
    </xf>
    <xf numFmtId="0" fontId="25" fillId="31" borderId="17" xfId="0" applyFont="1" applyFill="1" applyBorder="1" applyAlignment="1">
      <alignment horizontal="center" vertical="center" wrapText="1"/>
    </xf>
    <xf numFmtId="0" fontId="25" fillId="31" borderId="12" xfId="0" applyFont="1" applyFill="1" applyBorder="1" applyAlignment="1">
      <alignment horizontal="center" vertical="center" wrapText="1"/>
    </xf>
    <xf numFmtId="0" fontId="25" fillId="31" borderId="24" xfId="0" applyFont="1" applyFill="1" applyBorder="1" applyAlignment="1">
      <alignment horizontal="center" vertical="center" wrapText="1"/>
    </xf>
    <xf numFmtId="0" fontId="26" fillId="27" borderId="19" xfId="0" applyFont="1" applyFill="1" applyBorder="1" applyAlignment="1">
      <alignment horizontal="center" vertical="center"/>
    </xf>
    <xf numFmtId="0" fontId="26" fillId="27" borderId="20" xfId="0" applyFont="1" applyFill="1" applyBorder="1" applyAlignment="1">
      <alignment horizontal="center" vertical="center"/>
    </xf>
    <xf numFmtId="0" fontId="25" fillId="25" borderId="14" xfId="0" applyFont="1" applyFill="1" applyBorder="1" applyAlignment="1">
      <alignment horizontal="center" vertical="center" wrapText="1"/>
    </xf>
    <xf numFmtId="0" fontId="25" fillId="25" borderId="15" xfId="0" applyFont="1" applyFill="1" applyBorder="1" applyAlignment="1">
      <alignment horizontal="center" vertical="center"/>
    </xf>
    <xf numFmtId="0" fontId="25" fillId="25" borderId="14" xfId="0" applyFont="1" applyFill="1" applyBorder="1" applyAlignment="1">
      <alignment horizontal="center" vertical="center"/>
    </xf>
    <xf numFmtId="0" fontId="25" fillId="25" borderId="15" xfId="0" applyFont="1" applyFill="1" applyBorder="1" applyAlignment="1">
      <alignment horizontal="center" vertical="center" wrapText="1"/>
    </xf>
    <xf numFmtId="0" fontId="22" fillId="26" borderId="17" xfId="0" applyFont="1" applyFill="1" applyBorder="1" applyAlignment="1">
      <alignment horizontal="center" vertical="center"/>
    </xf>
    <xf numFmtId="0" fontId="22" fillId="26" borderId="12" xfId="0" applyFont="1" applyFill="1" applyBorder="1" applyAlignment="1">
      <alignment horizontal="center" vertical="center"/>
    </xf>
    <xf numFmtId="0" fontId="27" fillId="25" borderId="17" xfId="0" applyFont="1" applyFill="1" applyBorder="1" applyAlignment="1">
      <alignment horizontal="center" vertical="center" wrapText="1"/>
    </xf>
    <xf numFmtId="0" fontId="27" fillId="25" borderId="18" xfId="0" applyFont="1" applyFill="1" applyBorder="1" applyAlignment="1">
      <alignment horizontal="center" vertical="center" wrapText="1"/>
    </xf>
    <xf numFmtId="0" fontId="25" fillId="31" borderId="18" xfId="0" applyFont="1" applyFill="1" applyBorder="1" applyAlignment="1">
      <alignment horizontal="center" vertical="center" wrapText="1"/>
    </xf>
    <xf numFmtId="0" fontId="26" fillId="27" borderId="16" xfId="0" applyFont="1" applyFill="1" applyBorder="1" applyAlignment="1">
      <alignment horizontal="center" vertical="center"/>
    </xf>
    <xf numFmtId="0" fontId="25" fillId="25" borderId="12" xfId="0" applyFont="1" applyFill="1" applyBorder="1" applyAlignment="1">
      <alignment horizontal="center" vertical="center"/>
    </xf>
    <xf numFmtId="165" fontId="23" fillId="25" borderId="17" xfId="33" applyNumberFormat="1" applyFont="1" applyFill="1" applyBorder="1" applyAlignment="1">
      <alignment horizontal="center" vertical="center" wrapText="1"/>
    </xf>
    <xf numFmtId="165" fontId="23" fillId="25" borderId="18" xfId="33" applyNumberFormat="1" applyFont="1" applyFill="1" applyBorder="1" applyAlignment="1">
      <alignment horizontal="center" vertical="center" wrapText="1"/>
    </xf>
    <xf numFmtId="0" fontId="26" fillId="27" borderId="25" xfId="0" applyFont="1" applyFill="1" applyBorder="1" applyAlignment="1">
      <alignment horizontal="center" vertical="center" wrapText="1"/>
    </xf>
    <xf numFmtId="0" fontId="26" fillId="27" borderId="26" xfId="0" applyFont="1" applyFill="1" applyBorder="1" applyAlignment="1">
      <alignment horizontal="center" vertical="center"/>
    </xf>
    <xf numFmtId="0" fontId="26" fillId="27" borderId="27" xfId="0" applyFont="1" applyFill="1" applyBorder="1" applyAlignment="1">
      <alignment horizontal="center" vertical="center"/>
    </xf>
    <xf numFmtId="0" fontId="32" fillId="25" borderId="24" xfId="49" applyFont="1" applyFill="1" applyBorder="1" applyAlignment="1">
      <alignment horizontal="center" vertical="center" wrapText="1"/>
    </xf>
    <xf numFmtId="3" fontId="32" fillId="25" borderId="24" xfId="49" applyNumberFormat="1" applyFont="1" applyFill="1" applyBorder="1" applyAlignment="1">
      <alignment horizontal="center" vertical="center" wrapText="1"/>
    </xf>
    <xf numFmtId="3" fontId="32" fillId="25" borderId="16" xfId="49" applyNumberFormat="1" applyFont="1" applyFill="1" applyBorder="1" applyAlignment="1">
      <alignment horizontal="center" vertical="center" wrapText="1"/>
    </xf>
    <xf numFmtId="0" fontId="32" fillId="25" borderId="20" xfId="49" applyFont="1" applyFill="1" applyBorder="1" applyAlignment="1">
      <alignment horizontal="center" vertical="center" wrapText="1"/>
    </xf>
    <xf numFmtId="3" fontId="32" fillId="25" borderId="17" xfId="49" applyNumberFormat="1" applyFont="1" applyFill="1" applyBorder="1" applyAlignment="1">
      <alignment horizontal="center" vertical="center" wrapText="1"/>
    </xf>
    <xf numFmtId="3" fontId="32" fillId="25" borderId="18" xfId="49" applyNumberFormat="1" applyFont="1" applyFill="1" applyBorder="1" applyAlignment="1">
      <alignment horizontal="center" vertical="center" wrapText="1"/>
    </xf>
    <xf numFmtId="0" fontId="26" fillId="0" borderId="16"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27" borderId="25" xfId="0" applyFont="1" applyFill="1" applyBorder="1" applyAlignment="1">
      <alignment horizontal="center" vertical="center"/>
    </xf>
    <xf numFmtId="0" fontId="44" fillId="0" borderId="16" xfId="0" applyFont="1" applyBorder="1" applyAlignment="1">
      <alignment horizontal="center" vertical="center" wrapText="1"/>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25" fillId="25" borderId="34" xfId="0" applyFont="1" applyFill="1" applyBorder="1" applyAlignment="1">
      <alignment horizontal="center" vertical="center"/>
    </xf>
    <xf numFmtId="0" fontId="25" fillId="25" borderId="33" xfId="0" applyFont="1" applyFill="1" applyBorder="1" applyAlignment="1">
      <alignment horizontal="center" vertical="center"/>
    </xf>
  </cellXfs>
  <cellStyles count="53">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Euro" xfId="30" xr:uid="{00000000-0005-0000-0000-00001C000000}"/>
    <cellStyle name="Insatisfaisant" xfId="31" builtinId="27" customBuiltin="1"/>
    <cellStyle name="Milliers" xfId="51" builtinId="3"/>
    <cellStyle name="Milliers 2" xfId="32" xr:uid="{00000000-0005-0000-0000-00001F000000}"/>
    <cellStyle name="Milliers 3" xfId="50" xr:uid="{00000000-0005-0000-0000-000020000000}"/>
    <cellStyle name="Monétaire" xfId="33" builtinId="4"/>
    <cellStyle name="Monétaire 2" xfId="34" xr:uid="{00000000-0005-0000-0000-000022000000}"/>
    <cellStyle name="Neutre" xfId="35" builtinId="28" customBuiltin="1"/>
    <cellStyle name="Normal" xfId="0" builtinId="0"/>
    <cellStyle name="Normal 2" xfId="36" xr:uid="{00000000-0005-0000-0000-000025000000}"/>
    <cellStyle name="Normal 3" xfId="49" xr:uid="{00000000-0005-0000-0000-000026000000}"/>
    <cellStyle name="Normal 4" xfId="52" xr:uid="{4B9F5012-3A60-4C0C-BA12-06F7EC4E855B}"/>
    <cellStyle name="Note" xfId="28" builtinId="10" customBuiltin="1"/>
    <cellStyle name="Pourcentage" xfId="37" builtinId="5"/>
    <cellStyle name="Pourcentage 2" xfId="38" xr:uid="{00000000-0005-0000-0000-000029000000}"/>
    <cellStyle name="Satisfaisant" xfId="39" builtinId="26" customBuiltin="1"/>
    <cellStyle name="Sortie" xfId="40" builtinId="21" customBuiltin="1"/>
    <cellStyle name="Texte explicatif" xfId="41" builtinId="53" customBuiltin="1"/>
    <cellStyle name="Titre" xfId="42" builtinId="15" customBuiltin="1"/>
    <cellStyle name="Titre 1" xfId="43" builtinId="16" customBuiltin="1"/>
    <cellStyle name="Titre 2" xfId="44" builtinId="17" customBuiltin="1"/>
    <cellStyle name="Titre 3" xfId="45" builtinId="18" customBuiltin="1"/>
    <cellStyle name="Titre 4" xfId="46" builtinId="19" customBuiltin="1"/>
    <cellStyle name="Total" xfId="47" builtinId="25" customBuiltin="1"/>
    <cellStyle name="Vérification" xfId="48" builtinId="23" customBuiltin="1"/>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0</xdr:row>
      <xdr:rowOff>15875</xdr:rowOff>
    </xdr:from>
    <xdr:to>
      <xdr:col>1</xdr:col>
      <xdr:colOff>790575</xdr:colOff>
      <xdr:row>1</xdr:row>
      <xdr:rowOff>126319</xdr:rowOff>
    </xdr:to>
    <xdr:pic>
      <xdr:nvPicPr>
        <xdr:cNvPr id="2" name="Image 1">
          <a:extLst>
            <a:ext uri="{FF2B5EF4-FFF2-40B4-BE49-F238E27FC236}">
              <a16:creationId xmlns:a16="http://schemas.microsoft.com/office/drawing/2014/main" id="{F2330B95-DF4F-6B5B-3699-544A5EFE62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0" y="15875"/>
          <a:ext cx="1362075" cy="60256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TADAO-AppeldOffre-Finance-Chiffrage/Shared%20Documents/Finance%20-%20Chiffrage/12%20-%20Rendu%20Offre%202/5_1%20Maquette%20CEP%20Gratuite_OF2_v1.4_VALEURS%20-%20Cop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TADAO-AppeldOffre-Finance-Chiffrage/Shared%20Documents/Finance%20-%20Chiffrage/11%20-%20Offre%202/Maquette/4_1%20Maquette%20CEP_OF2_v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2. CEP offre de base"/>
      <sheetName val="BaseOF2"/>
      <sheetName val="Variation"/>
      <sheetName val="3.Recettes"/>
      <sheetName val="12. CEPTC1 service vélo Bethune"/>
      <sheetName val="14. CEPTC3 Gestion abris vélos"/>
      <sheetName val="4.Charges variables"/>
      <sheetName val="4a"/>
      <sheetName val="10. CEP option Allobus"/>
      <sheetName val="11. CEP option Proxibus"/>
      <sheetName val="4b"/>
      <sheetName val="4c"/>
      <sheetName val="4d"/>
      <sheetName val="5.Charges fixes"/>
      <sheetName val="5a"/>
      <sheetName val="5b"/>
      <sheetName val="5c"/>
      <sheetName val="6. SousTraitance"/>
      <sheetName val="5a."/>
      <sheetName val="5b."/>
      <sheetName val="7.CEP en format SIG"/>
    </sheetNames>
    <sheetDataSet>
      <sheetData sheetId="0"/>
      <sheetData sheetId="1"/>
      <sheetData sheetId="2">
        <row r="3">
          <cell r="C3">
            <v>2024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1.Evolution Couts"/>
      <sheetName val="2. CEP offre de base"/>
      <sheetName val="2. Habillage"/>
      <sheetName val="CEP_OF1B"/>
      <sheetName val="Evolutions"/>
      <sheetName val="Bridge"/>
      <sheetName val="3.Recettes"/>
      <sheetName val="12. CEPTC1 service vélo Bethune"/>
      <sheetName val="14. CEPTC3 Gestion abris vélos"/>
      <sheetName val="4.Charges variables"/>
      <sheetName val="4a"/>
      <sheetName val="4b"/>
      <sheetName val="10. CEP option Allobus"/>
      <sheetName val="11. CEP option Proxibus"/>
      <sheetName val="4c"/>
      <sheetName val="4d"/>
      <sheetName val="5.Charges fixes"/>
      <sheetName val="5a"/>
      <sheetName val="5b"/>
      <sheetName val="5c"/>
      <sheetName val="6. SousTraitance"/>
      <sheetName val="5a."/>
      <sheetName val="5b."/>
      <sheetName val="6. Habillage"/>
      <sheetName val="6. OF1"/>
      <sheetName val="6. Formule"/>
      <sheetName val="6. AH"/>
      <sheetName val="7.CEP en format SIG"/>
      <sheetName val="8.1 Option 6.1 Biclobus"/>
      <sheetName val="8.2 Option 6.2.1 Emports"/>
      <sheetName val="8.2 Option 6.2.2 Captain Bike R"/>
      <sheetName val="8.2 Option 6.2.2Captain BikeD3 "/>
      <sheetName val="8.2 Option 6.2.3 Trotinette"/>
      <sheetName val="CSP"/>
      <sheetName val="Cts marginaux"/>
      <sheetName val="Coefficients"/>
      <sheetName val="Annexe"/>
      <sheetName val="9. Bilan prévisionnel"/>
    </sheetNames>
    <sheetDataSet>
      <sheetData sheetId="0" refreshError="1"/>
      <sheetData sheetId="1" refreshError="1"/>
      <sheetData sheetId="2">
        <row r="3">
          <cell r="C3">
            <v>2024</v>
          </cell>
        </row>
      </sheetData>
      <sheetData sheetId="3">
        <row r="20">
          <cell r="J20" t="str">
            <v>Coûts de roulage</v>
          </cell>
        </row>
        <row r="21">
          <cell r="J21" t="str">
            <v>Charges variables de personnel</v>
          </cell>
        </row>
        <row r="22">
          <cell r="J22" t="str">
            <v>Autres charges variables</v>
          </cell>
        </row>
        <row r="24">
          <cell r="J24" t="str">
            <v>Marketing-commercial</v>
          </cell>
        </row>
        <row r="25">
          <cell r="J25" t="str">
            <v>Infrastructures fixes</v>
          </cell>
        </row>
        <row r="26">
          <cell r="J26" t="str">
            <v>Charges fixes de personnel</v>
          </cell>
        </row>
        <row r="27">
          <cell r="J27" t="str">
            <v>Frais de siège/frais de région</v>
          </cell>
        </row>
        <row r="28">
          <cell r="J28" t="str">
            <v>Impôts et taxes</v>
          </cell>
        </row>
        <row r="29">
          <cell r="J29" t="str">
            <v>Amortissements</v>
          </cell>
        </row>
        <row r="30">
          <cell r="J30" t="str">
            <v>Gros Entretien Renouvellement</v>
          </cell>
        </row>
        <row r="31">
          <cell r="J31" t="str">
            <v>Autres charges fixes</v>
          </cell>
        </row>
        <row r="32">
          <cell r="J32" t="str">
            <v>Marge et aléas</v>
          </cell>
        </row>
        <row r="33">
          <cell r="J33" t="str">
            <v>Sous-traitance</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5">
          <cell r="C25">
            <v>727760.8</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Thème Office">
  <a:themeElements>
    <a:clrScheme name="SMT ARTOIS">
      <a:dk1>
        <a:sysClr val="windowText" lastClr="000000"/>
      </a:dk1>
      <a:lt1>
        <a:sysClr val="window" lastClr="FFFFFF"/>
      </a:lt1>
      <a:dk2>
        <a:srgbClr val="AC2F7B"/>
      </a:dk2>
      <a:lt2>
        <a:srgbClr val="E7E6E6"/>
      </a:lt2>
      <a:accent1>
        <a:srgbClr val="FF961E"/>
      </a:accent1>
      <a:accent2>
        <a:srgbClr val="4DBFCA"/>
      </a:accent2>
      <a:accent3>
        <a:srgbClr val="E65433"/>
      </a:accent3>
      <a:accent4>
        <a:srgbClr val="2C5C84"/>
      </a:accent4>
      <a:accent5>
        <a:srgbClr val="70AD47"/>
      </a:accent5>
      <a:accent6>
        <a:srgbClr val="FFC000"/>
      </a:accent6>
      <a:hlink>
        <a:srgbClr val="A5A5A5"/>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22"/>
  <sheetViews>
    <sheetView showGridLines="0" zoomScale="85" zoomScaleNormal="85" workbookViewId="0"/>
  </sheetViews>
  <sheetFormatPr baseColWidth="10" defaultColWidth="10.81640625" defaultRowHeight="12.5" x14ac:dyDescent="0.25"/>
  <cols>
    <col min="1" max="1" width="10.453125" style="457" customWidth="1"/>
    <col min="2" max="2" width="12" style="457" customWidth="1"/>
    <col min="3" max="3" width="15.54296875" style="457" customWidth="1"/>
    <col min="4" max="4" width="12.453125" style="457" bestFit="1" customWidth="1"/>
    <col min="5" max="7" width="19.26953125" style="457" customWidth="1"/>
    <col min="8" max="16384" width="10.81640625" style="457"/>
  </cols>
  <sheetData>
    <row r="1" spans="1:7" ht="39" customHeight="1" x14ac:dyDescent="0.3">
      <c r="A1" s="98"/>
      <c r="B1" s="98"/>
      <c r="C1" s="640" t="s">
        <v>400</v>
      </c>
      <c r="D1" s="641"/>
      <c r="E1" s="641"/>
      <c r="F1" s="641"/>
      <c r="G1" s="642"/>
    </row>
    <row r="2" spans="1:7" ht="13" x14ac:dyDescent="0.3">
      <c r="A2" s="98"/>
      <c r="B2" s="98"/>
      <c r="C2" s="98"/>
      <c r="D2" s="98"/>
      <c r="E2" s="98"/>
      <c r="F2" s="98"/>
      <c r="G2" s="98"/>
    </row>
    <row r="3" spans="1:7" ht="13" x14ac:dyDescent="0.3">
      <c r="A3" s="458" t="s">
        <v>393</v>
      </c>
      <c r="B3" s="643" t="s">
        <v>475</v>
      </c>
      <c r="C3" s="643"/>
      <c r="D3" s="644"/>
      <c r="E3" s="98"/>
      <c r="F3" s="98"/>
      <c r="G3" s="98"/>
    </row>
    <row r="4" spans="1:7" ht="13" x14ac:dyDescent="0.3">
      <c r="A4" s="98"/>
      <c r="B4" s="98"/>
      <c r="C4" s="98"/>
      <c r="D4" s="98"/>
      <c r="E4" s="98"/>
      <c r="F4" s="98"/>
      <c r="G4" s="98"/>
    </row>
    <row r="5" spans="1:7" ht="13" x14ac:dyDescent="0.3">
      <c r="A5" s="645" t="s">
        <v>397</v>
      </c>
      <c r="B5" s="645"/>
      <c r="C5" s="645"/>
      <c r="D5" s="459" t="s">
        <v>398</v>
      </c>
      <c r="E5" s="460"/>
      <c r="F5" s="460"/>
      <c r="G5" s="460"/>
    </row>
    <row r="6" spans="1:7" ht="13" x14ac:dyDescent="0.3">
      <c r="A6" s="98"/>
      <c r="B6" s="98"/>
      <c r="C6" s="98"/>
      <c r="D6" s="98"/>
      <c r="E6" s="98"/>
      <c r="F6" s="98"/>
      <c r="G6" s="98"/>
    </row>
    <row r="7" spans="1:7" ht="13" x14ac:dyDescent="0.3">
      <c r="A7" s="646" t="s">
        <v>394</v>
      </c>
      <c r="B7" s="646"/>
      <c r="C7" s="646"/>
      <c r="D7" s="646"/>
      <c r="E7" s="646"/>
      <c r="F7" s="98"/>
      <c r="G7" s="98"/>
    </row>
    <row r="8" spans="1:7" ht="104.15" customHeight="1" x14ac:dyDescent="0.25">
      <c r="A8" s="639" t="s">
        <v>473</v>
      </c>
      <c r="B8" s="639"/>
      <c r="C8" s="639"/>
      <c r="D8" s="639"/>
      <c r="E8" s="639"/>
      <c r="F8" s="639"/>
      <c r="G8" s="639"/>
    </row>
    <row r="9" spans="1:7" ht="13" x14ac:dyDescent="0.25">
      <c r="A9" s="639" t="s">
        <v>469</v>
      </c>
      <c r="B9" s="639"/>
      <c r="C9" s="639"/>
      <c r="D9" s="639"/>
      <c r="E9" s="639"/>
      <c r="F9" s="639"/>
      <c r="G9" s="639"/>
    </row>
    <row r="10" spans="1:7" ht="13" x14ac:dyDescent="0.25">
      <c r="A10" s="639" t="s">
        <v>419</v>
      </c>
      <c r="B10" s="639"/>
      <c r="C10" s="639"/>
      <c r="D10" s="639"/>
      <c r="E10" s="639"/>
      <c r="F10" s="639"/>
      <c r="G10" s="639"/>
    </row>
    <row r="11" spans="1:7" ht="13" x14ac:dyDescent="0.25">
      <c r="A11" s="639" t="s">
        <v>420</v>
      </c>
      <c r="B11" s="639"/>
      <c r="C11" s="639"/>
      <c r="D11" s="639"/>
      <c r="E11" s="639"/>
      <c r="F11" s="639"/>
      <c r="G11" s="639"/>
    </row>
    <row r="12" spans="1:7" ht="13" x14ac:dyDescent="0.25">
      <c r="A12" s="639" t="s">
        <v>421</v>
      </c>
      <c r="B12" s="639"/>
      <c r="C12" s="639"/>
      <c r="D12" s="639"/>
      <c r="E12" s="639"/>
      <c r="F12" s="639"/>
      <c r="G12" s="639"/>
    </row>
    <row r="13" spans="1:7" ht="13" x14ac:dyDescent="0.25">
      <c r="A13" s="639" t="s">
        <v>422</v>
      </c>
      <c r="B13" s="639"/>
      <c r="C13" s="639"/>
      <c r="D13" s="639"/>
      <c r="E13" s="639"/>
      <c r="F13" s="639"/>
      <c r="G13" s="639"/>
    </row>
    <row r="14" spans="1:7" ht="39" customHeight="1" x14ac:dyDescent="0.25">
      <c r="A14" s="639" t="s">
        <v>474</v>
      </c>
      <c r="B14" s="639"/>
      <c r="C14" s="639"/>
      <c r="D14" s="639"/>
      <c r="E14" s="639"/>
      <c r="F14" s="639"/>
      <c r="G14" s="639"/>
    </row>
    <row r="15" spans="1:7" ht="13" x14ac:dyDescent="0.25">
      <c r="A15" s="639" t="s">
        <v>423</v>
      </c>
      <c r="B15" s="639"/>
      <c r="C15" s="639"/>
      <c r="D15" s="639"/>
      <c r="E15" s="639"/>
      <c r="F15" s="639"/>
      <c r="G15" s="639"/>
    </row>
    <row r="16" spans="1:7" ht="29.5" customHeight="1" x14ac:dyDescent="0.25">
      <c r="A16" s="639" t="s">
        <v>424</v>
      </c>
      <c r="B16" s="639"/>
      <c r="C16" s="639"/>
      <c r="D16" s="639"/>
      <c r="E16" s="639"/>
      <c r="F16" s="639"/>
      <c r="G16" s="639"/>
    </row>
    <row r="17" spans="1:7" ht="29.5" customHeight="1" x14ac:dyDescent="0.25">
      <c r="A17" s="639" t="s">
        <v>425</v>
      </c>
      <c r="B17" s="639"/>
      <c r="C17" s="639"/>
      <c r="D17" s="639"/>
      <c r="E17" s="639"/>
      <c r="F17" s="639"/>
      <c r="G17" s="639"/>
    </row>
    <row r="18" spans="1:7" ht="13" x14ac:dyDescent="0.25">
      <c r="A18" s="639" t="s">
        <v>440</v>
      </c>
      <c r="B18" s="639"/>
      <c r="C18" s="639"/>
      <c r="D18" s="639"/>
      <c r="E18" s="639"/>
      <c r="F18" s="639"/>
      <c r="G18" s="639"/>
    </row>
    <row r="19" spans="1:7" ht="13" x14ac:dyDescent="0.25">
      <c r="A19" s="639" t="s">
        <v>399</v>
      </c>
      <c r="B19" s="639"/>
      <c r="C19" s="639"/>
      <c r="D19" s="639"/>
      <c r="E19" s="639"/>
      <c r="F19" s="639"/>
      <c r="G19" s="639"/>
    </row>
    <row r="20" spans="1:7" ht="13" x14ac:dyDescent="0.3">
      <c r="A20" s="107"/>
      <c r="B20" s="107"/>
      <c r="C20" s="107"/>
      <c r="D20" s="107"/>
      <c r="E20" s="107"/>
      <c r="F20" s="98"/>
      <c r="G20" s="98"/>
    </row>
    <row r="21" spans="1:7" ht="13" x14ac:dyDescent="0.3">
      <c r="A21" s="650" t="s">
        <v>395</v>
      </c>
      <c r="B21" s="651"/>
      <c r="C21" s="651"/>
      <c r="D21" s="652"/>
      <c r="E21" s="461"/>
      <c r="F21" s="98"/>
      <c r="G21" s="98"/>
    </row>
    <row r="22" spans="1:7" ht="13" x14ac:dyDescent="0.3">
      <c r="A22" s="647" t="s">
        <v>396</v>
      </c>
      <c r="B22" s="648"/>
      <c r="C22" s="648"/>
      <c r="D22" s="649"/>
      <c r="E22" s="98"/>
      <c r="F22" s="98"/>
      <c r="G22" s="98"/>
    </row>
  </sheetData>
  <mergeCells count="18">
    <mergeCell ref="A22:D22"/>
    <mergeCell ref="A21:D21"/>
    <mergeCell ref="A17:G17"/>
    <mergeCell ref="A15:G15"/>
    <mergeCell ref="A16:G16"/>
    <mergeCell ref="A19:G19"/>
    <mergeCell ref="A18:G18"/>
    <mergeCell ref="A14:G14"/>
    <mergeCell ref="A9:G9"/>
    <mergeCell ref="A10:G10"/>
    <mergeCell ref="C1:G1"/>
    <mergeCell ref="A11:G11"/>
    <mergeCell ref="A12:G12"/>
    <mergeCell ref="A13:G13"/>
    <mergeCell ref="B3:D3"/>
    <mergeCell ref="A5:C5"/>
    <mergeCell ref="A7:E7"/>
    <mergeCell ref="A8:G8"/>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59999389629810485"/>
    <pageSetUpPr fitToPage="1"/>
  </sheetPr>
  <dimension ref="A1:Y74"/>
  <sheetViews>
    <sheetView showGridLines="0" view="pageBreakPreview" zoomScale="85" zoomScaleNormal="100" zoomScaleSheetLayoutView="85" workbookViewId="0">
      <selection activeCell="A5" sqref="A5"/>
    </sheetView>
  </sheetViews>
  <sheetFormatPr baseColWidth="10" defaultColWidth="11.26953125" defaultRowHeight="13" x14ac:dyDescent="0.3"/>
  <cols>
    <col min="1" max="1" width="40.453125" style="2" bestFit="1" customWidth="1"/>
    <col min="2" max="2" width="11.453125" style="17" customWidth="1"/>
    <col min="3" max="5" width="12.453125" style="28" bestFit="1" customWidth="1"/>
    <col min="6" max="6" width="12.453125" style="28" customWidth="1"/>
    <col min="7" max="7" width="12.453125" style="28" bestFit="1" customWidth="1"/>
    <col min="8" max="8" width="9.81640625" style="28" bestFit="1" customWidth="1"/>
    <col min="9" max="9" width="12.7265625" style="28" bestFit="1" customWidth="1"/>
    <col min="10" max="10" width="3.54296875" style="2" customWidth="1"/>
    <col min="11" max="11" width="27.453125" style="2" bestFit="1" customWidth="1"/>
    <col min="12" max="12" width="11.26953125" style="2"/>
    <col min="13" max="19" width="15.54296875" style="2" customWidth="1"/>
    <col min="20" max="20" width="11.26953125" style="2"/>
    <col min="21" max="22" width="7.81640625" style="2" customWidth="1"/>
    <col min="23" max="16384" width="11.26953125" style="2"/>
  </cols>
  <sheetData>
    <row r="1" spans="1:25" ht="30" customHeight="1" x14ac:dyDescent="0.35">
      <c r="A1" s="658" t="s">
        <v>319</v>
      </c>
      <c r="B1" s="659"/>
      <c r="C1" s="659"/>
      <c r="D1" s="659"/>
      <c r="E1" s="659"/>
      <c r="F1" s="659"/>
      <c r="G1" s="659"/>
      <c r="H1" s="659"/>
      <c r="I1" s="660"/>
      <c r="K1"/>
    </row>
    <row r="2" spans="1:25" ht="14.5" x14ac:dyDescent="0.35">
      <c r="K2"/>
    </row>
    <row r="3" spans="1:25" ht="27.65" customHeight="1" x14ac:dyDescent="0.3">
      <c r="A3" s="653" t="s">
        <v>367</v>
      </c>
      <c r="B3" s="655" t="s">
        <v>0</v>
      </c>
      <c r="C3" s="3" t="s">
        <v>470</v>
      </c>
      <c r="D3" s="3" t="s">
        <v>414</v>
      </c>
      <c r="E3" s="3" t="s">
        <v>471</v>
      </c>
      <c r="F3" s="516" t="s">
        <v>472</v>
      </c>
      <c r="G3" s="121" t="s">
        <v>476</v>
      </c>
      <c r="H3" s="181" t="s">
        <v>256</v>
      </c>
      <c r="I3" s="4" t="s">
        <v>59</v>
      </c>
      <c r="K3" s="661" t="s">
        <v>324</v>
      </c>
    </row>
    <row r="4" spans="1:25" x14ac:dyDescent="0.3">
      <c r="A4" s="654"/>
      <c r="B4" s="656"/>
      <c r="C4" s="77">
        <v>12</v>
      </c>
      <c r="D4" s="77">
        <v>12</v>
      </c>
      <c r="E4" s="77">
        <v>12</v>
      </c>
      <c r="F4" s="77">
        <v>12</v>
      </c>
      <c r="G4" s="183">
        <v>12</v>
      </c>
      <c r="H4" s="78">
        <f t="shared" ref="H4:H10" si="0">IFERROR(AVERAGE(C4:G4),0)</f>
        <v>12</v>
      </c>
      <c r="I4" s="78">
        <f t="shared" ref="I4:I10" si="1">SUM(C4:G4)</f>
        <v>60</v>
      </c>
      <c r="K4" s="662"/>
    </row>
    <row r="5" spans="1:25" x14ac:dyDescent="0.3">
      <c r="A5" s="301" t="s">
        <v>347</v>
      </c>
      <c r="B5" s="8"/>
      <c r="C5" s="512"/>
      <c r="D5" s="9">
        <f>'3.Recettes'!D7</f>
        <v>16667358.36478504</v>
      </c>
      <c r="E5" s="9">
        <f>'3.Recettes'!E7</f>
        <v>17049073.953796949</v>
      </c>
      <c r="F5" s="517">
        <f>'3.Recettes'!F7</f>
        <v>17340318.087482359</v>
      </c>
      <c r="G5" s="324">
        <f>'3.Recettes'!G7</f>
        <v>17611708.257790316</v>
      </c>
      <c r="H5" s="10">
        <f t="shared" si="0"/>
        <v>17167114.665963665</v>
      </c>
      <c r="I5" s="10">
        <f t="shared" si="1"/>
        <v>68668458.663854659</v>
      </c>
      <c r="J5" s="11"/>
      <c r="K5" s="188"/>
      <c r="L5" s="11"/>
      <c r="M5" s="11"/>
      <c r="P5" s="11"/>
    </row>
    <row r="6" spans="1:25" x14ac:dyDescent="0.3">
      <c r="A6" s="36" t="s">
        <v>316</v>
      </c>
      <c r="B6" s="12"/>
      <c r="C6" s="488"/>
      <c r="D6" s="13">
        <f>'3.Recettes'!D12</f>
        <v>87344.123408982501</v>
      </c>
      <c r="E6" s="13">
        <f>'3.Recettes'!E12</f>
        <v>89344.47720135258</v>
      </c>
      <c r="F6" s="13">
        <f>'3.Recettes'!F12</f>
        <v>90870.721672612461</v>
      </c>
      <c r="G6" s="159">
        <f>'3.Recettes'!G12</f>
        <v>92292.922840221945</v>
      </c>
      <c r="H6" s="14">
        <f t="shared" si="0"/>
        <v>89963.061280792375</v>
      </c>
      <c r="I6" s="14">
        <f t="shared" si="1"/>
        <v>359852.2451231695</v>
      </c>
      <c r="J6" s="11"/>
      <c r="K6" s="189"/>
      <c r="L6" s="11"/>
      <c r="M6" s="11"/>
      <c r="N6" s="11"/>
      <c r="O6" s="11"/>
      <c r="P6" s="11"/>
      <c r="Q6" s="11"/>
      <c r="R6" s="11"/>
      <c r="S6" s="11"/>
      <c r="T6" s="11"/>
      <c r="U6" s="11"/>
      <c r="V6" s="11"/>
      <c r="W6" s="11"/>
      <c r="X6" s="11"/>
      <c r="Y6" s="11"/>
    </row>
    <row r="7" spans="1:25" x14ac:dyDescent="0.3">
      <c r="A7" s="36" t="s">
        <v>448</v>
      </c>
      <c r="B7" s="12"/>
      <c r="C7" s="488"/>
      <c r="D7" s="13">
        <f>'3.Recettes'!D13</f>
        <v>21836.030852245625</v>
      </c>
      <c r="E7" s="13">
        <f>'3.Recettes'!E13</f>
        <v>22336.119300338145</v>
      </c>
      <c r="F7" s="13">
        <f>'3.Recettes'!F13</f>
        <v>22717.680418153115</v>
      </c>
      <c r="G7" s="159">
        <f>'3.Recettes'!G13</f>
        <v>23073.230710055486</v>
      </c>
      <c r="H7" s="14">
        <f t="shared" si="0"/>
        <v>22490.765320198094</v>
      </c>
      <c r="I7" s="14">
        <f t="shared" si="1"/>
        <v>89963.061280792375</v>
      </c>
      <c r="J7" s="11"/>
      <c r="K7" s="189"/>
      <c r="L7" s="11"/>
      <c r="M7" s="11"/>
      <c r="N7" s="11"/>
      <c r="O7" s="11"/>
      <c r="P7" s="11"/>
      <c r="Q7" s="11"/>
      <c r="R7" s="11"/>
      <c r="S7" s="11"/>
      <c r="T7" s="11"/>
      <c r="U7" s="11"/>
      <c r="V7" s="11"/>
      <c r="W7" s="11"/>
      <c r="X7" s="11"/>
      <c r="Y7" s="11"/>
    </row>
    <row r="8" spans="1:25" x14ac:dyDescent="0.3">
      <c r="A8" s="36" t="s">
        <v>351</v>
      </c>
      <c r="B8" s="12"/>
      <c r="C8" s="601"/>
      <c r="D8" s="548">
        <f>'3.Recettes'!D14</f>
        <v>20408.290373444954</v>
      </c>
      <c r="E8" s="548">
        <f>'3.Recettes'!E14</f>
        <v>20875.680730700653</v>
      </c>
      <c r="F8" s="548">
        <f>'3.Recettes'!F14</f>
        <v>21232.293621581568</v>
      </c>
      <c r="G8" s="159">
        <f>'3.Recettes'!G14</f>
        <v>21564.596394398013</v>
      </c>
      <c r="H8" s="14">
        <f t="shared" si="0"/>
        <v>21020.215280031298</v>
      </c>
      <c r="I8" s="14">
        <f t="shared" si="1"/>
        <v>84080.861120125192</v>
      </c>
      <c r="J8" s="11"/>
      <c r="K8" s="189"/>
      <c r="L8" s="11"/>
      <c r="M8" s="11"/>
      <c r="N8" s="11"/>
      <c r="O8" s="11"/>
      <c r="P8" s="11"/>
      <c r="Q8" s="11"/>
      <c r="R8" s="11"/>
      <c r="S8" s="11"/>
      <c r="T8" s="11"/>
      <c r="U8" s="11"/>
      <c r="V8" s="11"/>
      <c r="W8" s="11"/>
      <c r="X8" s="11"/>
      <c r="Y8" s="11"/>
    </row>
    <row r="9" spans="1:25" x14ac:dyDescent="0.3">
      <c r="A9" s="602" t="s">
        <v>496</v>
      </c>
      <c r="B9" s="603"/>
      <c r="C9" s="604"/>
      <c r="D9" s="605">
        <f>'3.Recettes'!D15</f>
        <v>2568246.9501506751</v>
      </c>
      <c r="E9" s="605">
        <f>'3.Recettes'!E15</f>
        <v>2589295.1241666316</v>
      </c>
      <c r="F9" s="605">
        <f>'3.Recettes'!F15</f>
        <v>2596698.5716691301</v>
      </c>
      <c r="G9" s="606">
        <f>'3.Recettes'!G15</f>
        <v>2600319.7344789151</v>
      </c>
      <c r="H9" s="14">
        <f t="shared" si="0"/>
        <v>2588640.0951163378</v>
      </c>
      <c r="I9" s="14">
        <f t="shared" si="1"/>
        <v>10354560.380465351</v>
      </c>
      <c r="J9" s="11"/>
      <c r="K9" s="189"/>
      <c r="L9" s="11"/>
      <c r="M9" s="11"/>
      <c r="N9" s="11"/>
      <c r="O9" s="11"/>
      <c r="P9" s="11"/>
      <c r="Q9" s="11"/>
      <c r="R9" s="11"/>
      <c r="S9" s="11"/>
      <c r="T9" s="11"/>
      <c r="U9" s="11"/>
      <c r="V9" s="11"/>
      <c r="W9" s="11"/>
      <c r="X9" s="11"/>
      <c r="Y9" s="11"/>
    </row>
    <row r="10" spans="1:25" s="5" customFormat="1" x14ac:dyDescent="0.3">
      <c r="A10" s="96" t="s">
        <v>364</v>
      </c>
      <c r="B10" s="57" t="s">
        <v>322</v>
      </c>
      <c r="C10" s="479"/>
      <c r="D10" s="19">
        <f>SUM(D5:D9)</f>
        <v>19365193.75957039</v>
      </c>
      <c r="E10" s="19">
        <f t="shared" ref="E10:G10" si="2">SUM(E5:E9)</f>
        <v>19770925.355195973</v>
      </c>
      <c r="F10" s="19">
        <f t="shared" si="2"/>
        <v>20071837.354863837</v>
      </c>
      <c r="G10" s="35">
        <f t="shared" si="2"/>
        <v>20348958.742213905</v>
      </c>
      <c r="H10" s="20">
        <f t="shared" si="0"/>
        <v>19889228.802961025</v>
      </c>
      <c r="I10" s="20">
        <f t="shared" si="1"/>
        <v>79556915.211844102</v>
      </c>
      <c r="J10" s="6"/>
      <c r="K10" s="190"/>
      <c r="M10" s="11"/>
      <c r="N10" s="11"/>
      <c r="O10" s="11"/>
      <c r="P10" s="11"/>
      <c r="Q10" s="11"/>
      <c r="R10" s="11"/>
      <c r="S10" s="11"/>
      <c r="T10" s="11"/>
      <c r="U10" s="11"/>
      <c r="V10" s="11"/>
      <c r="W10" s="11"/>
      <c r="X10" s="11"/>
      <c r="Y10" s="11"/>
    </row>
    <row r="11" spans="1:25" x14ac:dyDescent="0.3">
      <c r="C11" s="13"/>
      <c r="D11" s="13"/>
      <c r="E11" s="13"/>
      <c r="F11" s="13"/>
      <c r="G11" s="13"/>
      <c r="H11" s="13"/>
      <c r="I11" s="13"/>
      <c r="M11" s="11"/>
      <c r="N11" s="11"/>
      <c r="O11" s="11"/>
      <c r="P11" s="11"/>
      <c r="Q11" s="11"/>
      <c r="R11" s="11"/>
      <c r="S11" s="11"/>
      <c r="T11" s="11"/>
      <c r="U11" s="11"/>
      <c r="V11" s="11"/>
      <c r="W11" s="11"/>
      <c r="X11" s="11"/>
      <c r="Y11" s="11"/>
    </row>
    <row r="12" spans="1:25" ht="27.65" customHeight="1" x14ac:dyDescent="0.3">
      <c r="A12" s="653" t="s">
        <v>197</v>
      </c>
      <c r="B12" s="655" t="s">
        <v>0</v>
      </c>
      <c r="C12" s="3" t="str">
        <f>Annee0</f>
        <v>Année 0</v>
      </c>
      <c r="D12" s="3" t="str">
        <f>Annee1</f>
        <v>Année 1</v>
      </c>
      <c r="E12" s="3" t="str">
        <f>Annee2</f>
        <v>Année 2</v>
      </c>
      <c r="F12" s="516" t="str">
        <f>Annee3</f>
        <v>Année 3</v>
      </c>
      <c r="G12" s="121" t="str">
        <f>Annee4</f>
        <v>Année 4</v>
      </c>
      <c r="H12" s="181" t="s">
        <v>256</v>
      </c>
      <c r="I12" s="4" t="s">
        <v>59</v>
      </c>
      <c r="K12" s="661" t="s">
        <v>324</v>
      </c>
      <c r="M12" s="11"/>
      <c r="N12" s="11"/>
      <c r="O12" s="11"/>
      <c r="P12" s="11"/>
      <c r="Q12" s="11"/>
      <c r="R12" s="11"/>
      <c r="S12" s="11"/>
      <c r="T12" s="11"/>
      <c r="U12" s="11"/>
      <c r="V12" s="11"/>
      <c r="W12" s="11"/>
      <c r="X12" s="11"/>
      <c r="Y12" s="11"/>
    </row>
    <row r="13" spans="1:25" x14ac:dyDescent="0.3">
      <c r="A13" s="654"/>
      <c r="B13" s="656"/>
      <c r="C13" s="77">
        <v>12</v>
      </c>
      <c r="D13" s="77">
        <v>12</v>
      </c>
      <c r="E13" s="77">
        <v>12</v>
      </c>
      <c r="F13" s="77">
        <v>12</v>
      </c>
      <c r="G13" s="183">
        <v>12</v>
      </c>
      <c r="H13" s="78">
        <f>IFERROR(AVERAGE(C13:G13),0)</f>
        <v>12</v>
      </c>
      <c r="I13" s="78">
        <f>SUM(C13:G13)</f>
        <v>60</v>
      </c>
      <c r="K13" s="662"/>
      <c r="M13" s="11"/>
      <c r="N13" s="11"/>
      <c r="O13" s="11"/>
      <c r="P13" s="11"/>
      <c r="Q13" s="11"/>
      <c r="R13" s="11"/>
      <c r="S13" s="11"/>
      <c r="T13" s="11"/>
      <c r="U13" s="11"/>
      <c r="V13" s="11"/>
      <c r="W13" s="11"/>
      <c r="X13" s="11"/>
      <c r="Y13" s="11"/>
    </row>
    <row r="14" spans="1:25" x14ac:dyDescent="0.3">
      <c r="A14" s="301" t="s">
        <v>62</v>
      </c>
      <c r="B14" s="8"/>
      <c r="C14" s="512"/>
      <c r="D14" s="9">
        <f>'3.Recettes'!D75</f>
        <v>11132.5</v>
      </c>
      <c r="E14" s="9">
        <f>'3.Recettes'!E75</f>
        <v>11873.5</v>
      </c>
      <c r="F14" s="517">
        <f>'3.Recettes'!F75</f>
        <v>16318</v>
      </c>
      <c r="G14" s="324">
        <f>'3.Recettes'!G75</f>
        <v>17340.5</v>
      </c>
      <c r="H14" s="10">
        <f>IFERROR(AVERAGE(C14:G14),0)</f>
        <v>14166.125</v>
      </c>
      <c r="I14" s="10">
        <f>SUM(C14:G14)</f>
        <v>56664.5</v>
      </c>
      <c r="J14" s="11"/>
      <c r="K14" s="188"/>
      <c r="L14" s="11"/>
      <c r="M14" s="11"/>
      <c r="N14" s="11"/>
      <c r="O14" s="11"/>
      <c r="P14" s="11"/>
      <c r="Q14" s="11"/>
      <c r="R14" s="11"/>
      <c r="S14" s="11"/>
      <c r="T14" s="11"/>
      <c r="U14" s="11"/>
      <c r="V14" s="11"/>
      <c r="W14" s="11"/>
      <c r="X14" s="11"/>
      <c r="Y14" s="11"/>
    </row>
    <row r="15" spans="1:25" x14ac:dyDescent="0.3">
      <c r="A15" s="36" t="s">
        <v>318</v>
      </c>
      <c r="B15" s="12"/>
      <c r="C15" s="488"/>
      <c r="D15" s="13">
        <f>'3.Recettes'!D80</f>
        <v>95000</v>
      </c>
      <c r="E15" s="13">
        <f>'3.Recettes'!E80</f>
        <v>95000</v>
      </c>
      <c r="F15" s="13">
        <f>'3.Recettes'!F80</f>
        <v>95000</v>
      </c>
      <c r="G15" s="159">
        <f>'3.Recettes'!G80</f>
        <v>95000</v>
      </c>
      <c r="H15" s="14">
        <f>IFERROR(AVERAGE(C15:G15),0)</f>
        <v>95000</v>
      </c>
      <c r="I15" s="14">
        <f>SUM(C15:G15)</f>
        <v>380000</v>
      </c>
      <c r="J15" s="11"/>
      <c r="K15" s="189"/>
      <c r="L15" s="11"/>
      <c r="M15" s="11"/>
      <c r="N15" s="11"/>
      <c r="O15" s="11"/>
      <c r="P15" s="11"/>
      <c r="Q15" s="11"/>
      <c r="R15" s="11"/>
      <c r="S15" s="11"/>
      <c r="T15" s="11"/>
      <c r="U15" s="11"/>
      <c r="V15" s="11"/>
      <c r="W15" s="11"/>
      <c r="X15" s="11"/>
      <c r="Y15" s="11"/>
    </row>
    <row r="16" spans="1:25" x14ac:dyDescent="0.3">
      <c r="A16" s="59" t="s">
        <v>63</v>
      </c>
      <c r="B16" s="15"/>
      <c r="C16" s="513"/>
      <c r="D16" s="106">
        <f>'3.Recettes'!D86</f>
        <v>0</v>
      </c>
      <c r="E16" s="106">
        <f>'3.Recettes'!E86</f>
        <v>0</v>
      </c>
      <c r="F16" s="106">
        <f>'3.Recettes'!F86</f>
        <v>0</v>
      </c>
      <c r="G16" s="185">
        <f>'3.Recettes'!G86</f>
        <v>0</v>
      </c>
      <c r="H16" s="16">
        <f>IFERROR(AVERAGE(C16:G16),0)</f>
        <v>0</v>
      </c>
      <c r="I16" s="16">
        <f>SUM(C16:G16)</f>
        <v>0</v>
      </c>
      <c r="J16" s="11"/>
      <c r="K16" s="189"/>
      <c r="L16" s="11"/>
      <c r="M16" s="11"/>
      <c r="N16" s="11"/>
      <c r="O16" s="11"/>
      <c r="P16" s="11"/>
      <c r="Q16" s="11"/>
      <c r="R16" s="11"/>
      <c r="S16" s="11"/>
      <c r="T16" s="11"/>
      <c r="U16" s="11"/>
      <c r="V16" s="11"/>
      <c r="W16" s="11"/>
      <c r="X16" s="11"/>
      <c r="Y16" s="11"/>
    </row>
    <row r="17" spans="1:25" s="5" customFormat="1" x14ac:dyDescent="0.3">
      <c r="A17" s="96" t="s">
        <v>203</v>
      </c>
      <c r="B17" s="57" t="s">
        <v>322</v>
      </c>
      <c r="C17" s="479"/>
      <c r="D17" s="19">
        <f t="shared" ref="D17:E17" si="3">SUM(D14:D16)</f>
        <v>106132.5</v>
      </c>
      <c r="E17" s="19">
        <f t="shared" si="3"/>
        <v>106873.5</v>
      </c>
      <c r="F17" s="19">
        <f t="shared" ref="F17:G17" si="4">SUM(F14:F16)</f>
        <v>111318</v>
      </c>
      <c r="G17" s="35">
        <f t="shared" si="4"/>
        <v>112340.5</v>
      </c>
      <c r="H17" s="20">
        <f>IFERROR(AVERAGE(C17:G17),0)</f>
        <v>109166.125</v>
      </c>
      <c r="I17" s="20">
        <f>SUM(C17:G17)</f>
        <v>436664.5</v>
      </c>
      <c r="J17" s="6"/>
      <c r="K17" s="190"/>
      <c r="M17" s="11"/>
      <c r="N17" s="11"/>
      <c r="O17" s="11"/>
      <c r="P17" s="11"/>
      <c r="Q17" s="11"/>
      <c r="R17" s="11"/>
      <c r="S17" s="11"/>
      <c r="T17" s="11"/>
      <c r="U17" s="11"/>
      <c r="V17" s="11"/>
      <c r="W17" s="11"/>
      <c r="X17" s="11"/>
      <c r="Y17" s="11"/>
    </row>
    <row r="18" spans="1:25" ht="14.5" x14ac:dyDescent="0.35">
      <c r="C18" s="13"/>
      <c r="D18" s="13"/>
      <c r="E18" s="13"/>
      <c r="F18" s="13"/>
      <c r="G18" s="13"/>
      <c r="H18" s="13"/>
      <c r="I18" s="13"/>
      <c r="K18"/>
      <c r="M18" s="11"/>
      <c r="N18" s="11"/>
      <c r="O18" s="11"/>
      <c r="P18" s="11"/>
      <c r="Q18" s="11"/>
      <c r="R18" s="11"/>
      <c r="S18" s="11"/>
      <c r="T18" s="11"/>
      <c r="U18" s="11"/>
      <c r="V18" s="11"/>
      <c r="W18" s="11"/>
      <c r="X18" s="11"/>
      <c r="Y18" s="11"/>
    </row>
    <row r="19" spans="1:25" ht="27.65" customHeight="1" x14ac:dyDescent="0.3">
      <c r="A19" s="653" t="s">
        <v>194</v>
      </c>
      <c r="B19" s="655" t="s">
        <v>0</v>
      </c>
      <c r="C19" s="3" t="str">
        <f>Annee0</f>
        <v>Année 0</v>
      </c>
      <c r="D19" s="3" t="str">
        <f>Annee1</f>
        <v>Année 1</v>
      </c>
      <c r="E19" s="3" t="str">
        <f>Annee2</f>
        <v>Année 2</v>
      </c>
      <c r="F19" s="516" t="str">
        <f>Annee3</f>
        <v>Année 3</v>
      </c>
      <c r="G19" s="121" t="str">
        <f>Annee4</f>
        <v>Année 4</v>
      </c>
      <c r="H19" s="181" t="s">
        <v>256</v>
      </c>
      <c r="I19" s="4" t="s">
        <v>59</v>
      </c>
      <c r="K19" s="663" t="s">
        <v>324</v>
      </c>
      <c r="M19" s="11"/>
      <c r="N19" s="11"/>
      <c r="O19" s="11"/>
      <c r="P19" s="11"/>
      <c r="Q19" s="11"/>
      <c r="R19" s="11"/>
      <c r="S19" s="11"/>
      <c r="T19" s="11"/>
      <c r="U19" s="11"/>
      <c r="V19" s="11"/>
      <c r="W19" s="11"/>
      <c r="X19" s="11"/>
      <c r="Y19" s="11"/>
    </row>
    <row r="20" spans="1:25" x14ac:dyDescent="0.3">
      <c r="A20" s="654"/>
      <c r="B20" s="656"/>
      <c r="C20" s="77">
        <v>12</v>
      </c>
      <c r="D20" s="77">
        <v>12</v>
      </c>
      <c r="E20" s="77">
        <v>12</v>
      </c>
      <c r="F20" s="77">
        <v>12</v>
      </c>
      <c r="G20" s="183">
        <v>12</v>
      </c>
      <c r="H20" s="78">
        <f t="shared" ref="H20:H35" si="5">IFERROR(AVERAGE(C20:G20),0)</f>
        <v>12</v>
      </c>
      <c r="I20" s="78">
        <f t="shared" ref="I20:I39" si="6">SUM(C20:G20)</f>
        <v>60</v>
      </c>
      <c r="K20" s="663"/>
      <c r="M20" s="11"/>
      <c r="N20" s="11"/>
      <c r="O20" s="11"/>
      <c r="P20" s="11"/>
      <c r="Q20" s="11"/>
      <c r="R20" s="11"/>
      <c r="S20" s="11"/>
      <c r="T20" s="11"/>
      <c r="U20" s="11"/>
      <c r="V20" s="11"/>
      <c r="W20" s="11"/>
      <c r="X20" s="11"/>
      <c r="Y20" s="11"/>
    </row>
    <row r="21" spans="1:25" s="5" customFormat="1" x14ac:dyDescent="0.3">
      <c r="A21" s="302" t="s">
        <v>193</v>
      </c>
      <c r="B21" s="151" t="s">
        <v>164</v>
      </c>
      <c r="C21" s="511"/>
      <c r="D21" s="110">
        <f t="shared" ref="D21:E21" si="7">SUM(D22:D24)</f>
        <v>28858034.123321824</v>
      </c>
      <c r="E21" s="110">
        <f t="shared" si="7"/>
        <v>29427188.931257471</v>
      </c>
      <c r="F21" s="110">
        <f t="shared" ref="F21:G21" si="8">SUM(F22:F24)</f>
        <v>29135281.912295781</v>
      </c>
      <c r="G21" s="186">
        <f t="shared" si="8"/>
        <v>29956828.188962899</v>
      </c>
      <c r="H21" s="24">
        <f t="shared" si="5"/>
        <v>29344333.288959496</v>
      </c>
      <c r="I21" s="24">
        <f t="shared" si="6"/>
        <v>117377333.15583798</v>
      </c>
      <c r="K21" s="189"/>
      <c r="L21" s="6"/>
      <c r="M21" s="11"/>
      <c r="N21" s="11"/>
      <c r="O21" s="11"/>
      <c r="P21" s="11"/>
      <c r="Q21" s="11"/>
      <c r="R21" s="11"/>
      <c r="S21" s="11"/>
      <c r="T21" s="11"/>
      <c r="U21" s="11"/>
      <c r="V21" s="11"/>
      <c r="W21" s="11"/>
      <c r="X21" s="11"/>
      <c r="Y21" s="11"/>
    </row>
    <row r="22" spans="1:25" x14ac:dyDescent="0.3">
      <c r="A22" s="36" t="s">
        <v>1</v>
      </c>
      <c r="B22" s="12"/>
      <c r="C22" s="488"/>
      <c r="D22" s="13">
        <f>'4.Charges variables'!D34</f>
        <v>8720550.6513508949</v>
      </c>
      <c r="E22" s="13">
        <f>'4.Charges variables'!E34</f>
        <v>9112533.2346794289</v>
      </c>
      <c r="F22" s="13">
        <f>'4.Charges variables'!F34</f>
        <v>8690332.2102938071</v>
      </c>
      <c r="G22" s="159">
        <f>'4.Charges variables'!G34</f>
        <v>9374320.9846146852</v>
      </c>
      <c r="H22" s="14">
        <f t="shared" si="5"/>
        <v>8974434.270234704</v>
      </c>
      <c r="I22" s="14">
        <f t="shared" si="6"/>
        <v>35897737.080938816</v>
      </c>
      <c r="K22" s="188" t="s">
        <v>305</v>
      </c>
      <c r="M22" s="11"/>
      <c r="N22" s="11"/>
      <c r="O22" s="11"/>
      <c r="P22" s="11"/>
      <c r="Q22" s="11"/>
      <c r="R22" s="11"/>
      <c r="S22" s="11"/>
      <c r="T22" s="11"/>
      <c r="U22" s="11"/>
      <c r="V22" s="11"/>
      <c r="W22" s="11"/>
      <c r="X22" s="11"/>
      <c r="Y22" s="11"/>
    </row>
    <row r="23" spans="1:25" x14ac:dyDescent="0.3">
      <c r="A23" s="36" t="s">
        <v>385</v>
      </c>
      <c r="B23" s="12"/>
      <c r="C23" s="488"/>
      <c r="D23" s="13">
        <f>'4.Charges variables'!D40</f>
        <v>19887298.501970932</v>
      </c>
      <c r="E23" s="13">
        <f>'4.Charges variables'!E40</f>
        <v>20064070.726578046</v>
      </c>
      <c r="F23" s="13">
        <f>'4.Charges variables'!F40</f>
        <v>20190985.732001975</v>
      </c>
      <c r="G23" s="159">
        <f>'4.Charges variables'!G40</f>
        <v>20329618.234348215</v>
      </c>
      <c r="H23" s="14">
        <f t="shared" si="5"/>
        <v>20117993.298724793</v>
      </c>
      <c r="I23" s="14">
        <f t="shared" si="6"/>
        <v>80471973.194899172</v>
      </c>
      <c r="K23" s="189" t="s">
        <v>294</v>
      </c>
      <c r="M23" s="11"/>
      <c r="N23" s="11"/>
      <c r="O23" s="11"/>
      <c r="P23" s="11"/>
      <c r="Q23" s="11"/>
      <c r="R23" s="11"/>
      <c r="S23" s="11"/>
      <c r="T23" s="11"/>
      <c r="U23" s="11"/>
      <c r="V23" s="11"/>
      <c r="W23" s="11"/>
      <c r="X23" s="11"/>
      <c r="Y23" s="11"/>
    </row>
    <row r="24" spans="1:25" x14ac:dyDescent="0.3">
      <c r="A24" s="36" t="s">
        <v>2</v>
      </c>
      <c r="B24" s="12"/>
      <c r="C24" s="488"/>
      <c r="D24" s="13">
        <f>'4.Charges variables'!D46</f>
        <v>250184.97</v>
      </c>
      <c r="E24" s="13">
        <f>'4.Charges variables'!E46</f>
        <v>250584.97</v>
      </c>
      <c r="F24" s="13">
        <f>'4.Charges variables'!F46</f>
        <v>253963.97</v>
      </c>
      <c r="G24" s="159">
        <f>'4.Charges variables'!G46</f>
        <v>252888.97</v>
      </c>
      <c r="H24" s="14">
        <f t="shared" si="5"/>
        <v>251905.72</v>
      </c>
      <c r="I24" s="14">
        <f t="shared" si="6"/>
        <v>1007622.88</v>
      </c>
      <c r="K24" s="189" t="s">
        <v>295</v>
      </c>
      <c r="M24" s="11"/>
      <c r="N24" s="11"/>
      <c r="O24" s="11"/>
      <c r="P24" s="11"/>
      <c r="Q24" s="11"/>
      <c r="R24" s="11"/>
      <c r="S24" s="11"/>
      <c r="T24" s="11"/>
      <c r="U24" s="11"/>
      <c r="V24" s="11"/>
      <c r="W24" s="11"/>
      <c r="X24" s="11"/>
      <c r="Y24" s="11"/>
    </row>
    <row r="25" spans="1:25" s="5" customFormat="1" x14ac:dyDescent="0.3">
      <c r="A25" s="302" t="s">
        <v>195</v>
      </c>
      <c r="B25" s="151" t="s">
        <v>81</v>
      </c>
      <c r="C25" s="23">
        <f>C34</f>
        <v>250000</v>
      </c>
      <c r="D25" s="23">
        <f t="shared" ref="D25:E25" si="9">SUM(D26:D35)</f>
        <v>20724716.189904366</v>
      </c>
      <c r="E25" s="23">
        <f t="shared" si="9"/>
        <v>20625060.204234373</v>
      </c>
      <c r="F25" s="23">
        <f t="shared" ref="F25:G25" si="10">SUM(F26:F35)</f>
        <v>20773928.297811802</v>
      </c>
      <c r="G25" s="179">
        <f t="shared" si="10"/>
        <v>20661382.716947995</v>
      </c>
      <c r="H25" s="24">
        <f t="shared" si="5"/>
        <v>16607017.481779706</v>
      </c>
      <c r="I25" s="24">
        <f t="shared" si="6"/>
        <v>83035087.408898532</v>
      </c>
      <c r="K25" s="190"/>
      <c r="L25" s="6"/>
      <c r="M25" s="11"/>
      <c r="N25" s="11"/>
      <c r="O25" s="11"/>
      <c r="P25" s="11"/>
      <c r="Q25" s="11"/>
      <c r="R25" s="11"/>
      <c r="S25" s="11"/>
      <c r="T25" s="11"/>
      <c r="U25" s="11"/>
      <c r="V25" s="11"/>
      <c r="W25" s="11"/>
      <c r="X25" s="11"/>
      <c r="Y25" s="11"/>
    </row>
    <row r="26" spans="1:25" x14ac:dyDescent="0.3">
      <c r="A26" s="36" t="s">
        <v>3</v>
      </c>
      <c r="B26" s="152"/>
      <c r="C26" s="488"/>
      <c r="D26" s="13">
        <f>'5.Charges fixes'!D5</f>
        <v>1893127.8703314299</v>
      </c>
      <c r="E26" s="13">
        <f>'5.Charges fixes'!E5</f>
        <v>1795627.8703314299</v>
      </c>
      <c r="F26" s="13">
        <f>'5.Charges fixes'!F5</f>
        <v>1858127.8703314299</v>
      </c>
      <c r="G26" s="159">
        <f>'5.Charges fixes'!G5</f>
        <v>1796627.8703314299</v>
      </c>
      <c r="H26" s="14">
        <f t="shared" si="5"/>
        <v>1835877.8703314299</v>
      </c>
      <c r="I26" s="14">
        <f t="shared" si="6"/>
        <v>7343511.4813257195</v>
      </c>
      <c r="K26" s="189" t="s">
        <v>303</v>
      </c>
      <c r="M26" s="11"/>
      <c r="N26" s="11"/>
      <c r="O26" s="11"/>
      <c r="P26" s="11"/>
      <c r="Q26" s="11"/>
      <c r="R26" s="11"/>
      <c r="S26" s="11"/>
      <c r="T26" s="11"/>
      <c r="U26" s="11"/>
      <c r="V26" s="11"/>
      <c r="W26" s="11"/>
      <c r="X26" s="11"/>
      <c r="Y26" s="11"/>
    </row>
    <row r="27" spans="1:25" x14ac:dyDescent="0.3">
      <c r="A27" s="36" t="s">
        <v>275</v>
      </c>
      <c r="B27" s="12"/>
      <c r="C27" s="488"/>
      <c r="D27" s="13">
        <f>'5.Charges fixes'!D24</f>
        <v>771468.80000000005</v>
      </c>
      <c r="E27" s="13">
        <f>'5.Charges fixes'!E24</f>
        <v>771468.80000000005</v>
      </c>
      <c r="F27" s="13">
        <f>'5.Charges fixes'!F24</f>
        <v>771468.80000000005</v>
      </c>
      <c r="G27" s="159">
        <f>'5.Charges fixes'!G24</f>
        <v>771468.80000000005</v>
      </c>
      <c r="H27" s="14">
        <f t="shared" si="5"/>
        <v>771468.80000000005</v>
      </c>
      <c r="I27" s="14">
        <f t="shared" si="6"/>
        <v>3085875.2000000002</v>
      </c>
      <c r="K27" s="189" t="s">
        <v>303</v>
      </c>
      <c r="M27" s="11"/>
      <c r="N27" s="11"/>
      <c r="O27" s="11"/>
      <c r="P27" s="11"/>
      <c r="Q27" s="11"/>
      <c r="R27" s="11"/>
      <c r="S27" s="11"/>
      <c r="T27" s="11"/>
      <c r="U27" s="11"/>
      <c r="V27" s="11"/>
      <c r="W27" s="11"/>
      <c r="X27" s="11"/>
      <c r="Y27" s="11"/>
    </row>
    <row r="28" spans="1:25" x14ac:dyDescent="0.3">
      <c r="A28" s="36" t="s">
        <v>162</v>
      </c>
      <c r="B28" s="12"/>
      <c r="C28" s="488"/>
      <c r="D28" s="13">
        <f>'5.Charges fixes'!D34</f>
        <v>9591316.5425037276</v>
      </c>
      <c r="E28" s="13">
        <f>'5.Charges fixes'!E34</f>
        <v>9550099.3647460267</v>
      </c>
      <c r="F28" s="13">
        <f>'5.Charges fixes'!F34</f>
        <v>9622228.4969595708</v>
      </c>
      <c r="G28" s="159">
        <f>'5.Charges fixes'!G34</f>
        <v>9647163.988633424</v>
      </c>
      <c r="H28" s="14">
        <f t="shared" si="5"/>
        <v>9602702.0982106887</v>
      </c>
      <c r="I28" s="14">
        <f t="shared" si="6"/>
        <v>38410808.392842755</v>
      </c>
      <c r="K28" s="189" t="s">
        <v>304</v>
      </c>
      <c r="M28" s="11"/>
      <c r="N28" s="11"/>
      <c r="O28" s="11"/>
      <c r="P28" s="11"/>
      <c r="Q28" s="11"/>
      <c r="R28" s="11"/>
      <c r="S28" s="11"/>
      <c r="T28" s="11"/>
      <c r="U28" s="11"/>
      <c r="V28" s="11"/>
      <c r="W28" s="11"/>
      <c r="X28" s="11"/>
      <c r="Y28" s="11"/>
    </row>
    <row r="29" spans="1:25" x14ac:dyDescent="0.3">
      <c r="A29" s="36" t="s">
        <v>4</v>
      </c>
      <c r="B29" s="12"/>
      <c r="C29" s="488"/>
      <c r="D29" s="13">
        <f>'5.Charges fixes'!D40</f>
        <v>1849901.6458338285</v>
      </c>
      <c r="E29" s="13">
        <f>'5.Charges fixes'!E40</f>
        <v>1865290.8690689073</v>
      </c>
      <c r="F29" s="13">
        <f>'5.Charges fixes'!F40</f>
        <v>1872776.6192038383</v>
      </c>
      <c r="G29" s="159">
        <f>'5.Charges fixes'!G40</f>
        <v>1896979.9389569929</v>
      </c>
      <c r="H29" s="14">
        <f t="shared" si="5"/>
        <v>1871237.2682658918</v>
      </c>
      <c r="I29" s="14">
        <f t="shared" si="6"/>
        <v>7484949.0730635673</v>
      </c>
      <c r="K29" s="189" t="s">
        <v>304</v>
      </c>
      <c r="M29" s="11"/>
      <c r="N29" s="11"/>
      <c r="O29" s="11"/>
      <c r="P29" s="11"/>
      <c r="Q29" s="11"/>
      <c r="R29" s="11"/>
      <c r="S29" s="11"/>
      <c r="T29" s="11"/>
      <c r="U29" s="11"/>
      <c r="V29" s="11"/>
      <c r="W29" s="11"/>
      <c r="X29" s="11"/>
      <c r="Y29" s="11"/>
    </row>
    <row r="30" spans="1:25" x14ac:dyDescent="0.3">
      <c r="A30" s="36" t="s">
        <v>5</v>
      </c>
      <c r="B30" s="12"/>
      <c r="C30" s="488"/>
      <c r="D30" s="13">
        <f>'5.Charges fixes'!D43</f>
        <v>679009.90142860031</v>
      </c>
      <c r="E30" s="13">
        <f>'5.Charges fixes'!E43</f>
        <v>683640.28856249014</v>
      </c>
      <c r="F30" s="13">
        <f>'5.Charges fixes'!F43</f>
        <v>685986.37366148434</v>
      </c>
      <c r="G30" s="159">
        <f>'5.Charges fixes'!G43</f>
        <v>693080.93152267521</v>
      </c>
      <c r="H30" s="14">
        <f t="shared" si="5"/>
        <v>685429.37379381247</v>
      </c>
      <c r="I30" s="14">
        <f t="shared" si="6"/>
        <v>2741717.4951752499</v>
      </c>
      <c r="K30" s="189" t="s">
        <v>303</v>
      </c>
      <c r="M30" s="11"/>
      <c r="N30" s="11"/>
      <c r="O30" s="11"/>
      <c r="P30" s="11"/>
      <c r="Q30" s="11"/>
      <c r="R30" s="11"/>
      <c r="S30" s="11"/>
      <c r="T30" s="11"/>
      <c r="U30" s="11"/>
      <c r="V30" s="11"/>
      <c r="W30" s="11"/>
      <c r="X30" s="11"/>
      <c r="Y30" s="11"/>
    </row>
    <row r="31" spans="1:25" ht="12.25" customHeight="1" x14ac:dyDescent="0.3">
      <c r="A31" s="36" t="s">
        <v>172</v>
      </c>
      <c r="B31" s="12"/>
      <c r="C31" s="488"/>
      <c r="D31" s="13">
        <f>'5.Charges fixes'!D49</f>
        <v>294613.44444444444</v>
      </c>
      <c r="E31" s="13">
        <f>'5.Charges fixes'!E49</f>
        <v>332913.44444444444</v>
      </c>
      <c r="F31" s="13">
        <f>'5.Charges fixes'!F49</f>
        <v>353913.44444444444</v>
      </c>
      <c r="G31" s="159">
        <f>'5.Charges fixes'!G49</f>
        <v>205013.84444444446</v>
      </c>
      <c r="H31" s="14">
        <f t="shared" si="5"/>
        <v>296613.54444444441</v>
      </c>
      <c r="I31" s="14">
        <f t="shared" si="6"/>
        <v>1186454.1777777777</v>
      </c>
      <c r="K31" s="189" t="s">
        <v>302</v>
      </c>
      <c r="M31" s="11"/>
      <c r="N31" s="11"/>
      <c r="O31" s="11"/>
      <c r="P31" s="11"/>
      <c r="Q31" s="11"/>
      <c r="R31" s="11"/>
      <c r="S31" s="11"/>
      <c r="T31" s="11"/>
      <c r="U31" s="11"/>
      <c r="V31" s="11"/>
      <c r="W31" s="11"/>
      <c r="X31" s="11"/>
      <c r="Y31" s="11"/>
    </row>
    <row r="32" spans="1:25" ht="12.25" customHeight="1" x14ac:dyDescent="0.3">
      <c r="A32" s="36" t="s">
        <v>178</v>
      </c>
      <c r="B32" s="12"/>
      <c r="C32" s="488"/>
      <c r="D32" s="13">
        <f>'5.Charges fixes'!D75</f>
        <v>370000</v>
      </c>
      <c r="E32" s="13">
        <f>'5.Charges fixes'!E75</f>
        <v>370000</v>
      </c>
      <c r="F32" s="13">
        <f>'5.Charges fixes'!F75</f>
        <v>370000</v>
      </c>
      <c r="G32" s="159">
        <f>'5.Charges fixes'!G75</f>
        <v>370000</v>
      </c>
      <c r="H32" s="14">
        <f t="shared" si="5"/>
        <v>370000</v>
      </c>
      <c r="I32" s="14">
        <f t="shared" si="6"/>
        <v>1480000</v>
      </c>
      <c r="K32" s="189"/>
      <c r="M32" s="11"/>
      <c r="N32" s="11"/>
      <c r="O32" s="11"/>
      <c r="P32" s="11"/>
      <c r="Q32" s="11"/>
      <c r="R32" s="11"/>
      <c r="S32" s="11"/>
      <c r="T32" s="11"/>
      <c r="U32" s="11"/>
      <c r="V32" s="11"/>
      <c r="W32" s="11"/>
      <c r="X32" s="11"/>
      <c r="Y32" s="11"/>
    </row>
    <row r="33" spans="1:25" x14ac:dyDescent="0.3">
      <c r="A33" s="36" t="s">
        <v>6</v>
      </c>
      <c r="B33" s="12"/>
      <c r="C33" s="488"/>
      <c r="D33" s="13">
        <f>'5.Charges fixes'!D86</f>
        <v>3491799.7693655244</v>
      </c>
      <c r="E33" s="13">
        <f>'5.Charges fixes'!E86</f>
        <v>3461936.0743218274</v>
      </c>
      <c r="F33" s="13">
        <f>'5.Charges fixes'!F86</f>
        <v>3439994.521931496</v>
      </c>
      <c r="G33" s="159">
        <f>'5.Charges fixes'!G86</f>
        <v>3465369.7939422275</v>
      </c>
      <c r="H33" s="14">
        <f t="shared" si="5"/>
        <v>3464775.0398902688</v>
      </c>
      <c r="I33" s="14">
        <f t="shared" si="6"/>
        <v>13859100.159561075</v>
      </c>
      <c r="K33" s="189" t="s">
        <v>301</v>
      </c>
      <c r="M33" s="11"/>
      <c r="N33" s="11"/>
      <c r="O33" s="11"/>
      <c r="P33" s="11"/>
      <c r="Q33" s="11"/>
      <c r="R33" s="11"/>
      <c r="S33" s="11"/>
      <c r="T33" s="11"/>
      <c r="U33" s="11"/>
      <c r="V33" s="11"/>
      <c r="W33" s="11"/>
      <c r="X33" s="11"/>
      <c r="Y33" s="11"/>
    </row>
    <row r="34" spans="1:25" x14ac:dyDescent="0.3">
      <c r="A34" s="36" t="s">
        <v>443</v>
      </c>
      <c r="B34" s="12"/>
      <c r="C34" s="13">
        <f>'5.Charges fixes'!C111</f>
        <v>250000</v>
      </c>
      <c r="D34" s="13">
        <f>'5.Charges fixes'!D111</f>
        <v>0</v>
      </c>
      <c r="E34" s="13">
        <f>'5.Charges fixes'!E111</f>
        <v>0</v>
      </c>
      <c r="F34" s="13">
        <f>'5.Charges fixes'!F111</f>
        <v>0</v>
      </c>
      <c r="G34" s="159">
        <f>'5.Charges fixes'!G111</f>
        <v>0</v>
      </c>
      <c r="H34" s="14">
        <f t="shared" si="5"/>
        <v>50000</v>
      </c>
      <c r="I34" s="14">
        <f t="shared" si="6"/>
        <v>250000</v>
      </c>
      <c r="K34" s="189"/>
      <c r="M34" s="11"/>
      <c r="N34" s="11"/>
      <c r="O34" s="11"/>
      <c r="P34" s="11"/>
      <c r="Q34" s="11"/>
      <c r="R34" s="11"/>
      <c r="S34" s="11"/>
      <c r="T34" s="11"/>
      <c r="U34" s="11"/>
      <c r="V34" s="11"/>
      <c r="W34" s="11"/>
      <c r="X34" s="11"/>
      <c r="Y34" s="11"/>
    </row>
    <row r="35" spans="1:25" x14ac:dyDescent="0.3">
      <c r="A35" s="36" t="s">
        <v>192</v>
      </c>
      <c r="B35" s="12"/>
      <c r="C35" s="488"/>
      <c r="D35" s="13">
        <f>'5.Charges fixes'!D118</f>
        <v>1783478.2159968102</v>
      </c>
      <c r="E35" s="13">
        <f>'5.Charges fixes'!E118</f>
        <v>1794083.492759248</v>
      </c>
      <c r="F35" s="13">
        <f>'5.Charges fixes'!F118</f>
        <v>1799432.171279538</v>
      </c>
      <c r="G35" s="159">
        <f>'5.Charges fixes'!G118</f>
        <v>1815677.5491168012</v>
      </c>
      <c r="H35" s="14">
        <f t="shared" si="5"/>
        <v>1798167.8572880994</v>
      </c>
      <c r="I35" s="14">
        <f t="shared" si="6"/>
        <v>7192671.4291523974</v>
      </c>
      <c r="K35" s="189"/>
      <c r="M35" s="11"/>
      <c r="N35" s="11"/>
      <c r="O35" s="11"/>
      <c r="P35" s="11"/>
      <c r="Q35" s="11"/>
      <c r="R35" s="11"/>
      <c r="S35" s="11"/>
      <c r="T35" s="11"/>
      <c r="U35" s="11"/>
      <c r="V35" s="11"/>
      <c r="W35" s="11"/>
      <c r="X35" s="11"/>
      <c r="Y35" s="11"/>
    </row>
    <row r="36" spans="1:25" s="5" customFormat="1" x14ac:dyDescent="0.3">
      <c r="A36" s="302" t="s">
        <v>196</v>
      </c>
      <c r="B36" s="151" t="s">
        <v>82</v>
      </c>
      <c r="C36" s="510"/>
      <c r="D36" s="23">
        <f t="shared" ref="D36:E36" si="11">SUM(D37:D38)</f>
        <v>32907723.433714472</v>
      </c>
      <c r="E36" s="23">
        <f t="shared" si="11"/>
        <v>33023883.843817703</v>
      </c>
      <c r="F36" s="23">
        <f>SUM(F37:F38)</f>
        <v>33469034.029717274</v>
      </c>
      <c r="G36" s="179">
        <f t="shared" ref="G36" si="12">SUM(G37:G38)</f>
        <v>33658181.301424801</v>
      </c>
      <c r="H36" s="24">
        <f>IFERROR(AVERAGE(C36:G36),0)</f>
        <v>33264705.652168564</v>
      </c>
      <c r="I36" s="24">
        <f t="shared" si="6"/>
        <v>133058822.60867426</v>
      </c>
      <c r="K36" s="190" t="s">
        <v>306</v>
      </c>
      <c r="L36" s="6"/>
      <c r="M36" s="11"/>
      <c r="N36" s="11"/>
      <c r="O36" s="11"/>
      <c r="P36" s="11"/>
      <c r="Q36" s="11"/>
      <c r="R36" s="11"/>
      <c r="S36" s="11"/>
      <c r="T36" s="11"/>
      <c r="U36" s="11"/>
      <c r="V36" s="11"/>
      <c r="W36" s="11"/>
      <c r="X36" s="11"/>
      <c r="Y36" s="11"/>
    </row>
    <row r="37" spans="1:25" x14ac:dyDescent="0.3">
      <c r="A37" s="36" t="s">
        <v>384</v>
      </c>
      <c r="B37" s="12"/>
      <c r="C37" s="488"/>
      <c r="D37" s="13">
        <f>'6. SousTraitance'!D22</f>
        <v>21592387.048170984</v>
      </c>
      <c r="E37" s="13">
        <f>'6. SousTraitance'!E22</f>
        <v>21663759.149797</v>
      </c>
      <c r="F37" s="13">
        <f>'6. SousTraitance'!F22</f>
        <v>21937271.478813648</v>
      </c>
      <c r="G37" s="159">
        <f>'6. SousTraitance'!G22</f>
        <v>22053488.684715346</v>
      </c>
      <c r="H37" s="14">
        <f>IFERROR(AVERAGE(C37:G37),0)</f>
        <v>21811726.590374246</v>
      </c>
      <c r="I37" s="14">
        <f t="shared" si="6"/>
        <v>87246906.361496985</v>
      </c>
      <c r="K37" s="188"/>
      <c r="M37" s="11"/>
      <c r="N37" s="11"/>
      <c r="O37" s="11"/>
      <c r="P37" s="11"/>
      <c r="Q37" s="11"/>
      <c r="R37" s="11"/>
      <c r="S37" s="11"/>
      <c r="T37" s="11"/>
      <c r="U37" s="11"/>
      <c r="V37" s="11"/>
      <c r="W37" s="11"/>
      <c r="X37" s="11"/>
      <c r="Y37" s="11"/>
    </row>
    <row r="38" spans="1:25" x14ac:dyDescent="0.3">
      <c r="A38" s="36" t="s">
        <v>386</v>
      </c>
      <c r="B38" s="12"/>
      <c r="C38" s="488"/>
      <c r="D38" s="13">
        <f>'6. SousTraitance'!D29</f>
        <v>11315336.385543488</v>
      </c>
      <c r="E38" s="13">
        <f>'6. SousTraitance'!E29</f>
        <v>11360124.694020702</v>
      </c>
      <c r="F38" s="13">
        <f>'6. SousTraitance'!F29</f>
        <v>11531762.550903628</v>
      </c>
      <c r="G38" s="159">
        <f>'6. SousTraitance'!G29</f>
        <v>11604692.616709458</v>
      </c>
      <c r="H38" s="14">
        <f>IFERROR(AVERAGE(C38:G38),0)</f>
        <v>11452979.061794318</v>
      </c>
      <c r="I38" s="14">
        <f t="shared" si="6"/>
        <v>45811916.247177273</v>
      </c>
      <c r="K38" s="189"/>
      <c r="M38" s="11"/>
      <c r="N38" s="11"/>
      <c r="O38" s="11"/>
      <c r="P38" s="11"/>
      <c r="Q38" s="11"/>
      <c r="R38" s="11"/>
      <c r="S38" s="11"/>
      <c r="T38" s="11"/>
      <c r="U38" s="11"/>
      <c r="V38" s="11"/>
      <c r="W38" s="11"/>
      <c r="X38" s="11"/>
      <c r="Y38" s="11"/>
    </row>
    <row r="39" spans="1:25" s="5" customFormat="1" x14ac:dyDescent="0.3">
      <c r="A39" s="96" t="s">
        <v>204</v>
      </c>
      <c r="B39" s="57"/>
      <c r="C39" s="19">
        <f>C25</f>
        <v>250000</v>
      </c>
      <c r="D39" s="19">
        <f t="shared" ref="D39:E39" si="13">D21+D25+D36</f>
        <v>82490473.746940672</v>
      </c>
      <c r="E39" s="19">
        <f t="shared" si="13"/>
        <v>83076132.979309559</v>
      </c>
      <c r="F39" s="19">
        <f t="shared" ref="F39:G39" si="14">F21+F25+F36</f>
        <v>83378244.239824861</v>
      </c>
      <c r="G39" s="35">
        <f t="shared" si="14"/>
        <v>84276392.207335696</v>
      </c>
      <c r="H39" s="20">
        <f>IFERROR(AVERAGE(C39:G39),0)</f>
        <v>66694248.634682156</v>
      </c>
      <c r="I39" s="35">
        <f t="shared" si="6"/>
        <v>333471243.17341077</v>
      </c>
      <c r="J39" s="6"/>
      <c r="K39" s="190"/>
      <c r="L39" s="180"/>
      <c r="M39" s="11"/>
      <c r="N39" s="11"/>
      <c r="O39" s="11"/>
      <c r="P39" s="11"/>
      <c r="Q39" s="11"/>
      <c r="R39" s="11"/>
      <c r="S39" s="11"/>
      <c r="T39" s="11"/>
      <c r="U39" s="11"/>
      <c r="V39" s="11"/>
      <c r="W39" s="11"/>
      <c r="X39" s="11"/>
      <c r="Y39" s="11"/>
    </row>
    <row r="40" spans="1:25" x14ac:dyDescent="0.3">
      <c r="B40" s="2"/>
      <c r="C40" s="11"/>
      <c r="D40" s="11"/>
      <c r="E40" s="11"/>
      <c r="F40" s="11"/>
      <c r="G40" s="11"/>
      <c r="H40" s="588"/>
      <c r="I40" s="11"/>
      <c r="K40" s="11"/>
      <c r="M40" s="11"/>
      <c r="N40" s="11"/>
      <c r="O40" s="11"/>
      <c r="P40" s="11"/>
      <c r="Q40" s="11"/>
      <c r="R40" s="11"/>
      <c r="S40" s="11"/>
      <c r="T40" s="11"/>
      <c r="U40" s="11"/>
      <c r="V40" s="11"/>
      <c r="W40" s="11"/>
      <c r="X40" s="11"/>
      <c r="Y40" s="11"/>
    </row>
    <row r="41" spans="1:25" x14ac:dyDescent="0.3">
      <c r="A41" s="303" t="s">
        <v>198</v>
      </c>
      <c r="B41" s="112"/>
      <c r="C41" s="238">
        <f t="shared" ref="C41:E41" si="15">IFERROR(C35/C39,"-")</f>
        <v>0</v>
      </c>
      <c r="D41" s="238">
        <f t="shared" si="15"/>
        <v>2.1620414273144529E-2</v>
      </c>
      <c r="E41" s="238">
        <f t="shared" si="15"/>
        <v>2.1595654833934937E-2</v>
      </c>
      <c r="F41" s="238">
        <f t="shared" ref="F41:G41" si="16">IFERROR(F35/F39,"-")</f>
        <v>2.1581555088923971E-2</v>
      </c>
      <c r="G41" s="239">
        <f t="shared" si="16"/>
        <v>2.1544319845228956E-2</v>
      </c>
      <c r="H41" s="241">
        <f>IFERROR(H35/H39,"-")</f>
        <v>2.6961363147481671E-2</v>
      </c>
      <c r="I41" s="241">
        <f>IFERROR(I35/I39,"-")</f>
        <v>2.1569090517985338E-2</v>
      </c>
      <c r="J41" s="11"/>
      <c r="K41" s="616"/>
      <c r="M41" s="11"/>
      <c r="N41" s="11"/>
      <c r="O41" s="11"/>
      <c r="P41" s="11"/>
      <c r="Q41" s="11"/>
      <c r="R41" s="11"/>
      <c r="S41" s="11"/>
      <c r="T41" s="11"/>
      <c r="U41" s="11"/>
      <c r="V41" s="11"/>
      <c r="W41" s="11"/>
      <c r="X41" s="11"/>
      <c r="Y41" s="11"/>
    </row>
    <row r="42" spans="1:25" x14ac:dyDescent="0.3">
      <c r="D42" s="13"/>
      <c r="E42" s="13"/>
      <c r="F42" s="13"/>
      <c r="G42" s="13"/>
      <c r="H42" s="13"/>
      <c r="I42" s="617"/>
      <c r="K42" s="11"/>
      <c r="M42" s="11"/>
      <c r="N42" s="11"/>
      <c r="O42" s="11"/>
      <c r="P42" s="11"/>
      <c r="Q42" s="11"/>
      <c r="R42" s="11"/>
      <c r="S42" s="11"/>
      <c r="T42" s="11"/>
      <c r="U42" s="11"/>
      <c r="V42" s="11"/>
      <c r="W42" s="11"/>
      <c r="X42" s="11"/>
      <c r="Y42" s="11"/>
    </row>
    <row r="43" spans="1:25" ht="27.65" customHeight="1" x14ac:dyDescent="0.3">
      <c r="A43" s="653" t="s">
        <v>388</v>
      </c>
      <c r="B43" s="655" t="s">
        <v>0</v>
      </c>
      <c r="C43" s="3" t="str">
        <f>Annee0</f>
        <v>Année 0</v>
      </c>
      <c r="D43" s="3" t="str">
        <f>Annee1</f>
        <v>Année 1</v>
      </c>
      <c r="E43" s="3" t="str">
        <f>Annee2</f>
        <v>Année 2</v>
      </c>
      <c r="F43" s="516" t="str">
        <f>Annee3</f>
        <v>Année 3</v>
      </c>
      <c r="G43" s="121" t="str">
        <f>Annee4</f>
        <v>Année 4</v>
      </c>
      <c r="H43" s="181" t="s">
        <v>256</v>
      </c>
      <c r="I43" s="4" t="s">
        <v>59</v>
      </c>
      <c r="K43" s="11"/>
      <c r="M43" s="11"/>
      <c r="N43" s="11"/>
      <c r="O43" s="11"/>
      <c r="P43" s="11"/>
      <c r="Q43" s="11"/>
      <c r="R43" s="11"/>
      <c r="S43" s="11"/>
      <c r="T43" s="11"/>
      <c r="U43" s="11"/>
      <c r="V43" s="11"/>
      <c r="W43" s="11"/>
      <c r="X43" s="11"/>
      <c r="Y43" s="11"/>
    </row>
    <row r="44" spans="1:25" x14ac:dyDescent="0.3">
      <c r="A44" s="654"/>
      <c r="B44" s="656"/>
      <c r="C44" s="77">
        <v>12</v>
      </c>
      <c r="D44" s="77">
        <v>12</v>
      </c>
      <c r="E44" s="77">
        <v>12</v>
      </c>
      <c r="F44" s="77">
        <v>12</v>
      </c>
      <c r="G44" s="183">
        <v>12</v>
      </c>
      <c r="H44" s="78">
        <f t="shared" ref="H44:H57" si="17">IFERROR(AVERAGE(C44:G44),0)</f>
        <v>12</v>
      </c>
      <c r="I44" s="78">
        <f t="shared" ref="I44:I57" si="18">SUM(C44:G44)</f>
        <v>60</v>
      </c>
      <c r="M44" s="11"/>
      <c r="N44" s="11"/>
      <c r="O44" s="11"/>
      <c r="P44" s="11"/>
      <c r="Q44" s="11"/>
      <c r="R44" s="11"/>
      <c r="S44" s="11"/>
      <c r="T44" s="11"/>
      <c r="U44" s="11"/>
      <c r="V44" s="11"/>
      <c r="W44" s="11"/>
      <c r="X44" s="11"/>
      <c r="Y44" s="11"/>
    </row>
    <row r="45" spans="1:25" x14ac:dyDescent="0.3">
      <c r="A45" s="301" t="s">
        <v>389</v>
      </c>
      <c r="B45" s="8"/>
      <c r="C45" s="507"/>
      <c r="D45" s="447">
        <f t="shared" ref="D45:E45" si="19">IFERROR(D14/(D39-D35),"-")</f>
        <v>1.379372373703552E-4</v>
      </c>
      <c r="E45" s="447">
        <f t="shared" si="19"/>
        <v>1.4607776347918861E-4</v>
      </c>
      <c r="F45" s="518">
        <f t="shared" ref="F45:G45" si="20">IFERROR(F14/(F39-F35),"-")</f>
        <v>2.0002742852260529E-4</v>
      </c>
      <c r="G45" s="448">
        <f t="shared" si="20"/>
        <v>2.1028801498837926E-4</v>
      </c>
      <c r="H45" s="449">
        <f t="shared" si="17"/>
        <v>1.7358261109013209E-4</v>
      </c>
      <c r="I45" s="449">
        <f t="shared" si="18"/>
        <v>6.9433044436052836E-4</v>
      </c>
      <c r="J45" s="11"/>
      <c r="L45" s="11"/>
      <c r="M45" s="11"/>
      <c r="N45" s="11"/>
      <c r="O45" s="11"/>
      <c r="P45" s="11"/>
      <c r="Q45" s="11"/>
      <c r="R45" s="11"/>
      <c r="S45" s="11"/>
      <c r="T45" s="11"/>
      <c r="U45" s="11"/>
      <c r="V45" s="11"/>
      <c r="W45" s="11"/>
      <c r="X45" s="11"/>
      <c r="Y45" s="11"/>
    </row>
    <row r="46" spans="1:25" x14ac:dyDescent="0.3">
      <c r="A46" s="36" t="s">
        <v>390</v>
      </c>
      <c r="B46" s="12"/>
      <c r="C46" s="508"/>
      <c r="D46" s="450">
        <f t="shared" ref="D46:E46" si="21">IFERROR(D14/D10,"-")</f>
        <v>5.7487160408597798E-4</v>
      </c>
      <c r="E46" s="450">
        <f t="shared" si="21"/>
        <v>6.0055357990006978E-4</v>
      </c>
      <c r="F46" s="450">
        <f t="shared" ref="F46:G46" si="22">IFERROR(F14/F10,"-")</f>
        <v>8.1297988377958827E-4</v>
      </c>
      <c r="G46" s="385">
        <f t="shared" si="22"/>
        <v>8.5215662480199255E-4</v>
      </c>
      <c r="H46" s="451">
        <f t="shared" si="17"/>
        <v>7.1014042314190709E-4</v>
      </c>
      <c r="I46" s="451">
        <f t="shared" si="18"/>
        <v>2.8405616925676284E-3</v>
      </c>
      <c r="J46" s="11"/>
      <c r="L46" s="11"/>
      <c r="M46" s="11"/>
      <c r="N46" s="11"/>
      <c r="O46" s="11"/>
      <c r="P46" s="11"/>
      <c r="Q46" s="11"/>
      <c r="R46" s="11"/>
      <c r="S46" s="11"/>
      <c r="T46" s="11"/>
      <c r="U46" s="11"/>
      <c r="V46" s="11"/>
      <c r="W46" s="11"/>
      <c r="X46" s="11"/>
      <c r="Y46" s="11"/>
    </row>
    <row r="47" spans="1:25" x14ac:dyDescent="0.3">
      <c r="A47" s="36" t="s">
        <v>392</v>
      </c>
      <c r="B47" s="12"/>
      <c r="C47" s="508"/>
      <c r="D47" s="450">
        <f t="shared" ref="D47:E47" si="23">IFERROR((D39-D35)/D10,"-")</f>
        <v>4.1676317073284119</v>
      </c>
      <c r="E47" s="450">
        <f t="shared" si="23"/>
        <v>4.1111909547111143</v>
      </c>
      <c r="F47" s="450">
        <f t="shared" ref="F47:G47" si="24">IFERROR((F39-F35)/F10,"-")</f>
        <v>4.0643420244124799</v>
      </c>
      <c r="G47" s="385">
        <f t="shared" si="24"/>
        <v>4.0523309179036362</v>
      </c>
      <c r="H47" s="451">
        <f t="shared" si="17"/>
        <v>4.0988739010889104</v>
      </c>
      <c r="I47" s="451">
        <f t="shared" si="18"/>
        <v>16.395495604355641</v>
      </c>
      <c r="J47" s="11"/>
      <c r="L47" s="11"/>
      <c r="M47" s="11"/>
      <c r="N47" s="11"/>
      <c r="O47" s="11"/>
      <c r="P47" s="11"/>
      <c r="Q47" s="11"/>
      <c r="R47" s="11"/>
      <c r="S47" s="11"/>
      <c r="T47" s="11"/>
      <c r="U47" s="11"/>
      <c r="V47" s="11"/>
      <c r="W47" s="11"/>
      <c r="X47" s="11"/>
      <c r="Y47" s="11"/>
    </row>
    <row r="48" spans="1:25" x14ac:dyDescent="0.3">
      <c r="A48" s="36" t="s">
        <v>461</v>
      </c>
      <c r="B48" s="12"/>
      <c r="C48" s="508"/>
      <c r="D48" s="450">
        <f>IFERROR(D$14/('4.Charges variables'!D$8+'6. SousTraitance'!D$7+'6. SousTraitance'!D$9+'6. SousTraitance'!D$11+'6. SousTraitance'!D$13+'6. SousTraitance'!D$15),"-")</f>
        <v>6.9143476294315049E-4</v>
      </c>
      <c r="E48" s="450">
        <f>IFERROR(E$14/('4.Charges variables'!E$8+'6. SousTraitance'!E$7+'6. SousTraitance'!E$9+'6. SousTraitance'!E$11+'6. SousTraitance'!E$13+'6. SousTraitance'!E$15),"-")</f>
        <v>7.3745795264365587E-4</v>
      </c>
      <c r="F48" s="450">
        <f>IFERROR(F$14/('4.Charges variables'!F$8+'6. SousTraitance'!G$7+'6. SousTraitance'!G$9+'6. SousTraitance'!G$11+'6. SousTraitance'!G$13+'6. SousTraitance'!G$15),"-")</f>
        <v>1.0135039264950667E-3</v>
      </c>
      <c r="G48" s="385">
        <f>IFERROR(G$14/('4.Charges variables'!G$8+'6. SousTraitance'!H$7+'6. SousTraitance'!H$9+'6. SousTraitance'!H$11+'6. SousTraitance'!H$13+'6. SousTraitance'!H$15),"-")</f>
        <v>1.077010959516344E-3</v>
      </c>
      <c r="H48" s="451">
        <f t="shared" si="17"/>
        <v>8.7985190039955425E-4</v>
      </c>
      <c r="I48" s="451">
        <f t="shared" si="18"/>
        <v>3.519407601598217E-3</v>
      </c>
      <c r="J48" s="11"/>
      <c r="L48" s="11"/>
      <c r="M48" s="11"/>
      <c r="N48" s="11"/>
      <c r="O48" s="11"/>
      <c r="P48" s="11"/>
      <c r="Q48" s="11"/>
      <c r="R48" s="11"/>
      <c r="S48" s="11"/>
      <c r="T48" s="11"/>
      <c r="U48" s="11"/>
      <c r="V48" s="11"/>
      <c r="W48" s="11"/>
      <c r="X48" s="11"/>
      <c r="Y48" s="11"/>
    </row>
    <row r="49" spans="1:25" x14ac:dyDescent="0.3">
      <c r="A49" s="36" t="s">
        <v>462</v>
      </c>
      <c r="B49" s="12"/>
      <c r="C49" s="508"/>
      <c r="D49" s="450">
        <f>IFERROR(D$14/('4.Charges variables'!D$5+'6. SousTraitance'!D$7+'6. SousTraitance'!D$9+'6. SousTraitance'!D$11+'6. SousTraitance'!D$13+'6. SousTraitance'!D$15),"-")</f>
        <v>7.8047566927939545E-4</v>
      </c>
      <c r="E49" s="450">
        <f>IFERROR(E$14/('4.Charges variables'!E$5+'6. SousTraitance'!E$7+'6. SousTraitance'!E$9+'6. SousTraitance'!E$11+'6. SousTraitance'!E$13+'6. SousTraitance'!E$15),"-")</f>
        <v>8.3242558806996688E-4</v>
      </c>
      <c r="F49" s="450">
        <f>IFERROR(F$14/('4.Charges variables'!F$5+'6. SousTraitance'!G$7+'6. SousTraitance'!G$9+'6. SousTraitance'!G$11+'6. SousTraitance'!G$13+'6. SousTraitance'!G$15),"-")</f>
        <v>1.1440199390344646E-3</v>
      </c>
      <c r="G49" s="385">
        <f>IFERROR(G$14/('4.Charges variables'!G$5+'6. SousTraitance'!H$7+'6. SousTraitance'!H$9+'6. SousTraitance'!H$11+'6. SousTraitance'!H$13+'6. SousTraitance'!H$15),"-")</f>
        <v>1.2157052183372429E-3</v>
      </c>
      <c r="H49" s="451">
        <f t="shared" si="17"/>
        <v>9.9315660368026748E-4</v>
      </c>
      <c r="I49" s="451">
        <f t="shared" si="18"/>
        <v>3.9726264147210699E-3</v>
      </c>
      <c r="J49" s="11"/>
      <c r="L49" s="11"/>
      <c r="M49" s="11"/>
      <c r="N49" s="11"/>
      <c r="O49" s="11"/>
      <c r="P49" s="11"/>
      <c r="Q49" s="11"/>
      <c r="R49" s="11"/>
      <c r="S49" s="11"/>
      <c r="T49" s="11"/>
      <c r="U49" s="11"/>
      <c r="V49" s="11"/>
      <c r="W49" s="11"/>
      <c r="X49" s="11"/>
      <c r="Y49" s="11"/>
    </row>
    <row r="50" spans="1:25" x14ac:dyDescent="0.3">
      <c r="A50" s="36" t="s">
        <v>455</v>
      </c>
      <c r="B50" s="12"/>
      <c r="C50" s="508"/>
      <c r="D50" s="450">
        <f>IFERROR(D$10/('4.Charges variables'!D$8+'6. SousTraitance'!D$7+'6. SousTraitance'!D$9+'6. SousTraitance'!D$11+'6. SousTraitance'!D$13+'6. SousTraitance'!D$15),"-")</f>
        <v>1.2027638137432499</v>
      </c>
      <c r="E50" s="450">
        <f>IFERROR(E$10/('4.Charges variables'!E$8+'6. SousTraitance'!E$7+'6. SousTraitance'!E$9+'6. SousTraitance'!E$11+'6. SousTraitance'!E$13+'6. SousTraitance'!E$15),"-")</f>
        <v>1.2279636277688439</v>
      </c>
      <c r="F50" s="450">
        <f>IFERROR(F$10/('4.Charges variables'!F$8+'6. SousTraitance'!G$7+'6. SousTraitance'!G$9+'6. SousTraitance'!G$11+'6. SousTraitance'!G$13+'6. SousTraitance'!G$15),"-")</f>
        <v>1.2466531419980913</v>
      </c>
      <c r="G50" s="385">
        <f>IFERROR(G$10/('4.Charges variables'!G$8+'6. SousTraitance'!H$7+'6. SousTraitance'!H$9+'6. SousTraitance'!H$11+'6. SousTraitance'!H$13+'6. SousTraitance'!H$15),"-")</f>
        <v>1.2638650315798445</v>
      </c>
      <c r="H50" s="451">
        <f t="shared" si="17"/>
        <v>1.2353114037725073</v>
      </c>
      <c r="I50" s="451">
        <f t="shared" si="18"/>
        <v>4.941245615090029</v>
      </c>
      <c r="J50" s="11"/>
      <c r="L50" s="11"/>
      <c r="M50" s="11"/>
      <c r="N50" s="11"/>
      <c r="O50" s="11"/>
      <c r="P50" s="11"/>
      <c r="Q50" s="11"/>
      <c r="R50" s="11"/>
      <c r="S50" s="11"/>
      <c r="T50" s="11"/>
      <c r="U50" s="11"/>
      <c r="V50" s="11"/>
      <c r="W50" s="11"/>
      <c r="X50" s="11"/>
      <c r="Y50" s="11"/>
    </row>
    <row r="51" spans="1:25" x14ac:dyDescent="0.3">
      <c r="A51" s="36" t="s">
        <v>460</v>
      </c>
      <c r="B51" s="12"/>
      <c r="C51" s="508"/>
      <c r="D51" s="450">
        <f>IFERROR(D$10/('4.Charges variables'!D$5+'6. SousTraitance'!D$7+'6. SousTraitance'!D$9+'6. SousTraitance'!D$11+'6. SousTraitance'!D$13+'6. SousTraitance'!D$15),"-")</f>
        <v>1.3576521500315177</v>
      </c>
      <c r="E51" s="450">
        <f>IFERROR(E$10/('4.Charges variables'!E$5+'6. SousTraitance'!E$7+'6. SousTraitance'!E$9+'6. SousTraitance'!E$11+'6. SousTraitance'!E$13+'6. SousTraitance'!E$15),"-")</f>
        <v>1.3860971209404496</v>
      </c>
      <c r="F51" s="450">
        <f>IFERROR(F$10/('4.Charges variables'!F$5+'6. SousTraitance'!G$7+'6. SousTraitance'!G$9+'6. SousTraitance'!G$11+'6. SousTraitance'!G$13+'6. SousTraitance'!G$15),"-")</f>
        <v>1.4071934150644085</v>
      </c>
      <c r="G51" s="385">
        <f>IFERROR(G$10/('4.Charges variables'!G$5+'6. SousTraitance'!H$7+'6. SousTraitance'!H$9+'6. SousTraitance'!H$11+'6. SousTraitance'!H$13+'6. SousTraitance'!H$15),"-")</f>
        <v>1.4266218004462792</v>
      </c>
      <c r="H51" s="451">
        <f t="shared" si="17"/>
        <v>1.3943911216206637</v>
      </c>
      <c r="I51" s="451">
        <f t="shared" si="18"/>
        <v>5.5775644864826548</v>
      </c>
      <c r="J51" s="11"/>
      <c r="L51" s="11"/>
      <c r="M51" s="11"/>
      <c r="N51" s="11"/>
      <c r="O51" s="11"/>
      <c r="P51" s="11"/>
      <c r="Q51" s="11"/>
      <c r="R51" s="11"/>
      <c r="S51" s="11"/>
      <c r="T51" s="11"/>
      <c r="U51" s="11"/>
      <c r="V51" s="11"/>
      <c r="W51" s="11"/>
      <c r="X51" s="11"/>
      <c r="Y51" s="11"/>
    </row>
    <row r="52" spans="1:25" x14ac:dyDescent="0.3">
      <c r="A52" s="36" t="s">
        <v>454</v>
      </c>
      <c r="B52" s="12"/>
      <c r="C52" s="508"/>
      <c r="D52" s="450">
        <f>IFERROR((D$39-D$35)/('4.Charges variables'!D$8+'6. SousTraitance'!D$7+'6. SousTraitance'!D$9+'6. SousTraitance'!D$11+'6. SousTraitance'!D$13+'6. SousTraitance'!D$15),"-")</f>
        <v>5.0126766065836126</v>
      </c>
      <c r="E52" s="450">
        <f>IFERROR((E$39-E$35)/('4.Charges variables'!E$8+'6. SousTraitance'!E$7+'6. SousTraitance'!E$9+'6. SousTraitance'!E$11+'6. SousTraitance'!E$13+'6. SousTraitance'!E$15),"-")</f>
        <v>5.0483929591975167</v>
      </c>
      <c r="F52" s="450">
        <f>IFERROR((F$39-F$35)/('4.Charges variables'!F$8+'6. SousTraitance'!G$7+'6. SousTraitance'!G$9+'6. SousTraitance'!G$11+'6. SousTraitance'!G$13+'6. SousTraitance'!G$15),"-")</f>
        <v>5.0668247548887013</v>
      </c>
      <c r="G52" s="385">
        <f>IFERROR((G$39-G$35)/('4.Charges variables'!G$8+'6. SousTraitance'!H$7+'6. SousTraitance'!H$9+'6. SousTraitance'!H$11+'6. SousTraitance'!H$13+'6. SousTraitance'!H$15),"-")</f>
        <v>5.121599343528259</v>
      </c>
      <c r="H52" s="451">
        <f t="shared" si="17"/>
        <v>5.062373416049522</v>
      </c>
      <c r="I52" s="451">
        <f t="shared" si="18"/>
        <v>20.249493664198088</v>
      </c>
      <c r="J52" s="11"/>
      <c r="L52" s="11"/>
      <c r="M52" s="11"/>
      <c r="N52" s="11"/>
      <c r="O52" s="11"/>
      <c r="P52" s="11"/>
      <c r="Q52" s="11"/>
      <c r="R52" s="11"/>
      <c r="S52" s="11"/>
      <c r="T52" s="11"/>
      <c r="U52" s="11"/>
      <c r="V52" s="11"/>
      <c r="W52" s="11"/>
      <c r="X52" s="11"/>
      <c r="Y52" s="11"/>
    </row>
    <row r="53" spans="1:25" x14ac:dyDescent="0.3">
      <c r="A53" s="36" t="s">
        <v>415</v>
      </c>
      <c r="B53" s="12"/>
      <c r="C53" s="508"/>
      <c r="D53" s="450">
        <f>IFERROR((D$39-D$35-D$36)/('4.Charges variables'!D$8),"-")</f>
        <v>5.1220942716922568</v>
      </c>
      <c r="E53" s="450">
        <f>IFERROR((E$39-E$35-E$36)/('4.Charges variables'!E$8),"-")</f>
        <v>5.1712685770238851</v>
      </c>
      <c r="F53" s="450">
        <f>IFERROR((F$39-F$35-F$36)/('4.Charges variables'!F$8),"-")</f>
        <v>5.155367596473309</v>
      </c>
      <c r="G53" s="385">
        <f>IFERROR((G$39-G$35-G$36)/('4.Charges variables'!G$8),"-")</f>
        <v>5.229602158845311</v>
      </c>
      <c r="H53" s="451">
        <f t="shared" si="17"/>
        <v>5.1695831510086903</v>
      </c>
      <c r="I53" s="451">
        <f t="shared" si="18"/>
        <v>20.678332604034761</v>
      </c>
      <c r="J53" s="11"/>
      <c r="L53" s="11"/>
      <c r="M53" s="11"/>
      <c r="N53" s="11"/>
      <c r="O53" s="11"/>
      <c r="P53" s="11"/>
      <c r="Q53" s="11"/>
      <c r="R53" s="11"/>
      <c r="S53" s="11"/>
      <c r="T53" s="11"/>
      <c r="U53" s="11"/>
      <c r="V53" s="11"/>
      <c r="W53" s="11"/>
      <c r="X53" s="11"/>
      <c r="Y53" s="11"/>
    </row>
    <row r="54" spans="1:25" x14ac:dyDescent="0.3">
      <c r="A54" s="36" t="s">
        <v>456</v>
      </c>
      <c r="B54" s="12"/>
      <c r="C54" s="508"/>
      <c r="D54" s="450">
        <f>IFERROR((D$36)/('6. SousTraitance'!D$7+'6. SousTraitance'!D$9+'6. SousTraitance'!D$11+'6. SousTraitance'!D$13+'6. SousTraitance'!D$15),"-")</f>
        <v>4.8618207204550101</v>
      </c>
      <c r="E54" s="450">
        <f>IFERROR((E$36)/('6. SousTraitance'!E$7+'6. SousTraitance'!E$9+'6. SousTraitance'!E$11+'6. SousTraitance'!E$13+'6. SousTraitance'!E$15),"-")</f>
        <v>4.8789823782607842</v>
      </c>
      <c r="F54" s="450">
        <f>IFERROR((F$36)/('6. SousTraitance'!G$7+'6. SousTraitance'!G$9+'6. SousTraitance'!G$11+'6. SousTraitance'!G$13+'6. SousTraitance'!G$15),"-")</f>
        <v>4.9447493220568299</v>
      </c>
      <c r="G54" s="385">
        <f>IFERROR((G$36)/('6. SousTraitance'!H$7+'6. SousTraitance'!H$9+'6. SousTraitance'!H$11+'6. SousTraitance'!H$13+'6. SousTraitance'!H$15),"-")</f>
        <v>4.9726941334521708</v>
      </c>
      <c r="H54" s="451">
        <f t="shared" si="17"/>
        <v>4.914561638556199</v>
      </c>
      <c r="I54" s="451">
        <f t="shared" si="18"/>
        <v>19.658246554224796</v>
      </c>
      <c r="J54" s="11"/>
      <c r="L54" s="11"/>
      <c r="M54" s="11"/>
      <c r="N54" s="11"/>
      <c r="O54" s="11"/>
      <c r="P54" s="11"/>
      <c r="Q54" s="11"/>
      <c r="R54" s="11"/>
      <c r="S54" s="11"/>
      <c r="T54" s="11"/>
      <c r="U54" s="11"/>
      <c r="V54" s="11"/>
      <c r="W54" s="11"/>
      <c r="X54" s="11"/>
      <c r="Y54" s="11"/>
    </row>
    <row r="55" spans="1:25" x14ac:dyDescent="0.3">
      <c r="A55" s="36" t="s">
        <v>457</v>
      </c>
      <c r="B55" s="12"/>
      <c r="C55" s="508"/>
      <c r="D55" s="450">
        <f>IFERROR((D$39-D$35)/('4.Charges variables'!D$5+'6. SousTraitance'!D$7+'6. SousTraitance'!D$9+'6. SousTraitance'!D$11+'6. SousTraitance'!D$13+'6. SousTraitance'!D$15),"-")</f>
        <v>5.6581941479939442</v>
      </c>
      <c r="E55" s="450">
        <f>IFERROR((E$39-E$35)/('4.Charges variables'!E$5+'6. SousTraitance'!E$7+'6. SousTraitance'!E$9+'6. SousTraitance'!E$11+'6. SousTraitance'!E$13+'6. SousTraitance'!E$15),"-")</f>
        <v>5.6985099459614936</v>
      </c>
      <c r="F55" s="450">
        <f>IFERROR((F$39-F$35)/('4.Charges variables'!F$5+'6. SousTraitance'!G$7+'6. SousTraitance'!G$9+'6. SousTraitance'!G$11+'6. SousTraitance'!G$13+'6. SousTraitance'!G$15),"-")</f>
        <v>5.7193153333227889</v>
      </c>
      <c r="G55" s="385">
        <f>IFERROR((G$39-G$35)/('4.Charges variables'!G$5+'6. SousTraitance'!H$7+'6. SousTraitance'!H$9+'6. SousTraitance'!H$11+'6. SousTraitance'!H$13+'6. SousTraitance'!H$15),"-")</f>
        <v>5.7811436301038075</v>
      </c>
      <c r="H55" s="451">
        <f t="shared" si="17"/>
        <v>5.7142907643455079</v>
      </c>
      <c r="I55" s="451">
        <f t="shared" si="18"/>
        <v>22.857163057382031</v>
      </c>
      <c r="J55" s="11"/>
      <c r="L55" s="11"/>
      <c r="M55" s="11"/>
      <c r="N55" s="11"/>
      <c r="O55" s="11"/>
      <c r="P55" s="11"/>
      <c r="Q55" s="11"/>
      <c r="R55" s="11"/>
      <c r="S55" s="11"/>
      <c r="T55" s="11"/>
      <c r="U55" s="11"/>
      <c r="V55" s="11"/>
      <c r="W55" s="11"/>
      <c r="X55" s="11"/>
      <c r="Y55" s="11"/>
    </row>
    <row r="56" spans="1:25" x14ac:dyDescent="0.3">
      <c r="A56" s="36" t="s">
        <v>458</v>
      </c>
      <c r="B56" s="12"/>
      <c r="C56" s="508"/>
      <c r="D56" s="450">
        <f>IFERROR((D$39-D$35-D$36)/('4.Charges variables'!D$5),"-")</f>
        <v>6.377371668454451</v>
      </c>
      <c r="E56" s="450">
        <f>IFERROR((E$39-E$35-E$36)/('4.Charges variables'!E$5),"-")</f>
        <v>6.4385971760307212</v>
      </c>
      <c r="F56" s="450">
        <f>IFERROR((F$39-F$35-F$36)/('4.Charges variables'!F$5),"-")</f>
        <v>6.4187993243151995</v>
      </c>
      <c r="G56" s="385">
        <f>IFERROR((G$39-G$35-G$36)/('4.Charges variables'!G$5),"-")</f>
        <v>6.5112266342746672</v>
      </c>
      <c r="H56" s="451">
        <f t="shared" si="17"/>
        <v>6.4364987007687597</v>
      </c>
      <c r="I56" s="451">
        <f t="shared" si="18"/>
        <v>25.745994803075039</v>
      </c>
      <c r="J56" s="11"/>
      <c r="L56" s="11"/>
      <c r="M56" s="11"/>
      <c r="N56" s="11"/>
      <c r="O56" s="11"/>
      <c r="P56" s="11"/>
      <c r="Q56" s="11"/>
      <c r="R56" s="11"/>
      <c r="S56" s="11"/>
      <c r="T56" s="11"/>
      <c r="U56" s="11"/>
      <c r="V56" s="11"/>
      <c r="W56" s="11"/>
      <c r="X56" s="11"/>
      <c r="Y56" s="11"/>
    </row>
    <row r="57" spans="1:25" x14ac:dyDescent="0.3">
      <c r="A57" s="59" t="s">
        <v>459</v>
      </c>
      <c r="B57" s="15"/>
      <c r="C57" s="509"/>
      <c r="D57" s="452">
        <f>IFERROR((D$36)/('6. SousTraitance'!D$7+'6. SousTraitance'!D$9+'6. SousTraitance'!D$11+'6. SousTraitance'!D$13+'6. SousTraitance'!D$15),"-")</f>
        <v>4.8618207204550101</v>
      </c>
      <c r="E57" s="452">
        <f>IFERROR((E$36)/('6. SousTraitance'!E$7+'6. SousTraitance'!E$9+'6. SousTraitance'!E$11+'6. SousTraitance'!E$13+'6. SousTraitance'!E$15),"-")</f>
        <v>4.8789823782607842</v>
      </c>
      <c r="F57" s="452">
        <f>IFERROR((F$36)/('6. SousTraitance'!G$7+'6. SousTraitance'!G$9+'6. SousTraitance'!G$11+'6. SousTraitance'!G$13+'6. SousTraitance'!G$15),"-")</f>
        <v>4.9447493220568299</v>
      </c>
      <c r="G57" s="453">
        <f>IFERROR((G$36)/('6. SousTraitance'!H$7+'6. SousTraitance'!H$9+'6. SousTraitance'!H$11+'6. SousTraitance'!H$13+'6. SousTraitance'!H$15),"-")</f>
        <v>4.9726941334521708</v>
      </c>
      <c r="H57" s="454">
        <f t="shared" si="17"/>
        <v>4.914561638556199</v>
      </c>
      <c r="I57" s="454">
        <f t="shared" si="18"/>
        <v>19.658246554224796</v>
      </c>
      <c r="J57" s="11"/>
      <c r="L57" s="11"/>
      <c r="M57" s="11"/>
      <c r="N57" s="11"/>
      <c r="O57" s="11"/>
      <c r="P57" s="11"/>
      <c r="Q57" s="11"/>
      <c r="R57" s="11"/>
      <c r="S57" s="11"/>
      <c r="T57" s="11"/>
      <c r="U57" s="11"/>
      <c r="V57" s="11"/>
      <c r="W57" s="11"/>
      <c r="X57" s="11"/>
      <c r="Y57" s="11"/>
    </row>
    <row r="58" spans="1:25" x14ac:dyDescent="0.3">
      <c r="M58" s="11"/>
      <c r="N58" s="11"/>
      <c r="O58" s="11"/>
      <c r="P58" s="11"/>
      <c r="Q58" s="11"/>
      <c r="R58" s="11"/>
      <c r="S58" s="11"/>
      <c r="T58" s="11"/>
      <c r="U58" s="11"/>
      <c r="V58" s="11"/>
      <c r="W58" s="11"/>
      <c r="X58" s="11"/>
      <c r="Y58" s="11"/>
    </row>
    <row r="59" spans="1:25" x14ac:dyDescent="0.3">
      <c r="A59" s="657" t="s">
        <v>391</v>
      </c>
      <c r="B59" s="455" t="str" cm="1">
        <f t="array" ref="B59">_xlfn.IFNA(_xlfn.IFS(C59=FALSE,"EF",D59=FALSE,"EF",E59=FALSE,"EF",G59=FALSE,"EF",H59=FALSE,"EF",I59=FALSE,"EF"),"")</f>
        <v/>
      </c>
      <c r="C59" s="456" t="str">
        <f>IF('3.Recettes'!C16=C10,"",FALSE)</f>
        <v/>
      </c>
      <c r="D59" s="456" t="str">
        <f>IF('3.Recettes'!D16=D10,"",FALSE)</f>
        <v/>
      </c>
      <c r="E59" s="456" t="str">
        <f>IF('3.Recettes'!E16=E10,"",FALSE)</f>
        <v/>
      </c>
      <c r="F59" s="456" t="str">
        <f>IF('3.Recettes'!F16=F10,"",FALSE)</f>
        <v/>
      </c>
      <c r="G59" s="456" t="str">
        <f>IF('3.Recettes'!G16=G10,"",FALSE)</f>
        <v/>
      </c>
      <c r="H59" s="456" t="str">
        <f>IF('3.Recettes'!H16=H10,"",FALSE)</f>
        <v/>
      </c>
      <c r="I59" s="456" t="str">
        <f>IF('3.Recettes'!I16=I10,"",FALSE)</f>
        <v/>
      </c>
      <c r="M59" s="11"/>
      <c r="N59" s="11"/>
      <c r="O59" s="11"/>
      <c r="P59" s="11"/>
      <c r="Q59" s="11"/>
      <c r="R59" s="11"/>
      <c r="S59" s="11"/>
      <c r="T59" s="11"/>
      <c r="U59" s="11"/>
      <c r="V59" s="11"/>
      <c r="W59" s="11"/>
      <c r="X59" s="11"/>
      <c r="Y59" s="11"/>
    </row>
    <row r="60" spans="1:25" x14ac:dyDescent="0.3">
      <c r="A60" s="657"/>
      <c r="B60" s="455" t="str" cm="1">
        <f t="array" ref="B60">_xlfn.IFNA(_xlfn.IFS(C60=FALSE,"OR",D60=FALSE,"OR",E60=FALSE,"OR",G60=FALSE,"OR",H60=FALSE,"OR",I60=FALSE,"OR"),"")</f>
        <v/>
      </c>
      <c r="C60" s="456" t="str">
        <f>IF(('3.Recettes'!C75+'3.Recettes'!C80+'3.Recettes'!C86)=C17,"",FALSE)</f>
        <v/>
      </c>
      <c r="D60" s="456" t="str">
        <f>IF(('3.Recettes'!D75+'3.Recettes'!D80+'3.Recettes'!D86)=D17,"",FALSE)</f>
        <v/>
      </c>
      <c r="E60" s="456" t="str">
        <f>IF(('3.Recettes'!E75+'3.Recettes'!E80+'3.Recettes'!E86)=E17,"",FALSE)</f>
        <v/>
      </c>
      <c r="F60" s="456" t="str">
        <f>IF(('3.Recettes'!F75+'3.Recettes'!F80+'3.Recettes'!F86)=F17,"",FALSE)</f>
        <v/>
      </c>
      <c r="G60" s="456" t="str">
        <f>IF(('3.Recettes'!G75+'3.Recettes'!G80+'3.Recettes'!G86)=G17,"",FALSE)</f>
        <v/>
      </c>
      <c r="H60" s="456" t="str">
        <f>IF(('3.Recettes'!H75+'3.Recettes'!H80+'3.Recettes'!H86)=H17,"",FALSE)</f>
        <v/>
      </c>
      <c r="I60" s="456" t="str">
        <f>IF(('3.Recettes'!I75+'3.Recettes'!I80+'3.Recettes'!I86)=I17,"",FALSE)</f>
        <v/>
      </c>
      <c r="M60" s="11"/>
      <c r="N60" s="11"/>
      <c r="O60" s="11"/>
      <c r="P60" s="11"/>
      <c r="Q60" s="11"/>
      <c r="R60" s="11"/>
      <c r="S60" s="11"/>
      <c r="T60" s="11"/>
      <c r="U60" s="11"/>
      <c r="V60" s="11"/>
      <c r="W60" s="11"/>
      <c r="X60" s="11"/>
      <c r="Y60" s="11"/>
    </row>
    <row r="61" spans="1:25" x14ac:dyDescent="0.3">
      <c r="A61" s="657"/>
      <c r="B61" s="455" t="str" cm="1">
        <f t="array" ref="B61">_xlfn.IFNA(_xlfn.IFS(C61=FALSE,"CV",D61=FALSE,"CV",E61=FALSE,"CV",G61=FALSE,"CV",H61=FALSE,"CV",I61=FALSE,"CV"),"")</f>
        <v/>
      </c>
      <c r="C61" s="456" t="str">
        <f>IF('4.Charges variables'!C49=C21,"",FALSE)</f>
        <v/>
      </c>
      <c r="D61" s="456" t="str">
        <f>IF('4.Charges variables'!D49=D21,"",FALSE)</f>
        <v/>
      </c>
      <c r="E61" s="456" t="str">
        <f>IF('4.Charges variables'!E49=E21,"",FALSE)</f>
        <v/>
      </c>
      <c r="F61" s="456" t="str">
        <f>IF('4.Charges variables'!F49=F21,"",FALSE)</f>
        <v/>
      </c>
      <c r="G61" s="456" t="str">
        <f>IF('4.Charges variables'!G49=G21,"",FALSE)</f>
        <v/>
      </c>
      <c r="H61" s="456" t="str">
        <f>IF('4.Charges variables'!H49=H21,"",FALSE)</f>
        <v/>
      </c>
      <c r="I61" s="456" t="str">
        <f>IF('4.Charges variables'!I49=I21,"",FALSE)</f>
        <v/>
      </c>
      <c r="M61" s="11"/>
      <c r="N61" s="11"/>
      <c r="O61" s="11"/>
      <c r="P61" s="11"/>
      <c r="Q61" s="11"/>
      <c r="R61" s="11"/>
      <c r="S61" s="11"/>
      <c r="T61" s="11"/>
      <c r="U61" s="11"/>
      <c r="V61" s="11"/>
      <c r="W61" s="11"/>
      <c r="X61" s="11"/>
      <c r="Y61" s="11"/>
    </row>
    <row r="62" spans="1:25" x14ac:dyDescent="0.3">
      <c r="A62" s="657"/>
      <c r="B62" s="455" t="str" cm="1">
        <f t="array" ref="B62">_xlfn.IFNA(_xlfn.IFS(C62=FALSE,"CF",D62=FALSE,"CF",E62=FALSE,"CF",G62=FALSE,"CF",H62=FALSE,"CF",I62=FALSE,"CF"),"")</f>
        <v/>
      </c>
      <c r="C62" s="456" t="str">
        <f>IF('5.Charges fixes'!C121=C25,"",FALSE)</f>
        <v/>
      </c>
      <c r="D62" s="456" t="str">
        <f>IF('5.Charges fixes'!D121=D25,"",FALSE)</f>
        <v/>
      </c>
      <c r="E62" s="456" t="str">
        <f>IF('5.Charges fixes'!E121=E25,"",FALSE)</f>
        <v/>
      </c>
      <c r="F62" s="456" t="str">
        <f>IF('5.Charges fixes'!F121=F25,"",FALSE)</f>
        <v/>
      </c>
      <c r="G62" s="456" t="str">
        <f>IF('5.Charges fixes'!G121=G25,"",FALSE)</f>
        <v/>
      </c>
      <c r="H62" s="456" t="str">
        <f>IF('5.Charges fixes'!H121=H25,"",FALSE)</f>
        <v/>
      </c>
      <c r="I62" s="456" t="str">
        <f>IF('5.Charges fixes'!I121=I25,"",FALSE)</f>
        <v/>
      </c>
      <c r="M62" s="11"/>
      <c r="N62" s="11"/>
      <c r="O62" s="11"/>
      <c r="P62" s="11"/>
      <c r="Q62" s="11"/>
      <c r="R62" s="11"/>
      <c r="S62" s="11"/>
      <c r="T62" s="11"/>
      <c r="U62" s="11"/>
      <c r="V62" s="11"/>
      <c r="W62" s="11"/>
      <c r="X62" s="11"/>
      <c r="Y62" s="11"/>
    </row>
    <row r="63" spans="1:25" x14ac:dyDescent="0.3">
      <c r="A63" s="657"/>
      <c r="B63" s="455" t="str" cm="1">
        <f t="array" ref="B63">_xlfn.IFNA(_xlfn.IFS(C63=FALSE,"CST",D63=FALSE,"CST",E63=FALSE,"CST",G63=FALSE,"CST",H63=FALSE,"CST",I63=FALSE,"CST"),"")</f>
        <v/>
      </c>
      <c r="C63" s="456" t="str">
        <f>IF('6. SousTraitance'!C39=C36,"",FALSE)</f>
        <v/>
      </c>
      <c r="D63" s="456" t="str">
        <f>IF('6. SousTraitance'!D39=D36,"",FALSE)</f>
        <v/>
      </c>
      <c r="E63" s="456" t="str">
        <f>IF('6. SousTraitance'!E39=E36,"",FALSE)</f>
        <v/>
      </c>
      <c r="F63" s="456" t="str">
        <f>IF('6. SousTraitance'!F39=F36,"",FALSE)</f>
        <v/>
      </c>
      <c r="G63" s="456" t="str">
        <f>IF('6. SousTraitance'!G39=G36,"",FALSE)</f>
        <v/>
      </c>
      <c r="H63" s="456" t="str">
        <f>IF('6. SousTraitance'!H39=H36,"",FALSE)</f>
        <v/>
      </c>
      <c r="I63" s="456" t="str">
        <f>IF('6. SousTraitance'!I39=I36,"",FALSE)</f>
        <v/>
      </c>
      <c r="M63" s="11"/>
      <c r="N63" s="11"/>
      <c r="O63" s="11"/>
      <c r="P63" s="11"/>
      <c r="Q63" s="11"/>
      <c r="R63" s="11"/>
      <c r="S63" s="11"/>
      <c r="T63" s="11"/>
      <c r="U63" s="11"/>
      <c r="V63" s="11"/>
      <c r="W63" s="11"/>
      <c r="X63" s="11"/>
      <c r="Y63" s="11"/>
    </row>
    <row r="64" spans="1:25" x14ac:dyDescent="0.3">
      <c r="M64" s="11"/>
      <c r="N64" s="11"/>
      <c r="O64" s="11"/>
      <c r="P64" s="11"/>
      <c r="Q64" s="11"/>
      <c r="R64" s="11"/>
      <c r="S64" s="11"/>
      <c r="T64" s="11"/>
      <c r="U64" s="11"/>
      <c r="V64" s="11"/>
      <c r="W64" s="11"/>
      <c r="X64" s="11"/>
      <c r="Y64" s="11"/>
    </row>
    <row r="65" spans="2:25" x14ac:dyDescent="0.3">
      <c r="M65" s="11"/>
      <c r="N65" s="11"/>
      <c r="O65" s="11"/>
      <c r="P65" s="11"/>
      <c r="Q65" s="11"/>
      <c r="R65" s="11"/>
      <c r="S65" s="11"/>
      <c r="T65" s="11"/>
      <c r="U65" s="11"/>
      <c r="V65" s="11"/>
      <c r="W65" s="11"/>
      <c r="X65" s="11"/>
      <c r="Y65" s="11"/>
    </row>
    <row r="66" spans="2:25" x14ac:dyDescent="0.3">
      <c r="B66" s="2"/>
      <c r="C66" s="13"/>
      <c r="D66" s="13"/>
      <c r="E66" s="13"/>
      <c r="F66" s="13"/>
      <c r="G66" s="13"/>
      <c r="H66" s="2"/>
      <c r="I66" s="2"/>
      <c r="M66" s="11"/>
      <c r="N66" s="11"/>
      <c r="O66" s="11"/>
      <c r="P66" s="11"/>
      <c r="Q66" s="11"/>
      <c r="R66" s="11"/>
      <c r="S66" s="11"/>
      <c r="T66" s="11"/>
      <c r="U66" s="11"/>
      <c r="V66" s="11"/>
      <c r="W66" s="11"/>
      <c r="X66" s="11"/>
      <c r="Y66" s="11"/>
    </row>
    <row r="67" spans="2:25" x14ac:dyDescent="0.3">
      <c r="M67" s="11"/>
      <c r="N67" s="11"/>
      <c r="O67" s="11"/>
      <c r="P67" s="11"/>
      <c r="Q67" s="11"/>
      <c r="R67" s="11"/>
      <c r="S67" s="11"/>
      <c r="T67" s="11"/>
      <c r="U67" s="11"/>
      <c r="V67" s="11"/>
      <c r="W67" s="11"/>
      <c r="X67" s="11"/>
      <c r="Y67" s="11"/>
    </row>
    <row r="68" spans="2:25" x14ac:dyDescent="0.3">
      <c r="M68" s="11"/>
      <c r="N68" s="11"/>
      <c r="O68" s="11"/>
      <c r="P68" s="11"/>
      <c r="Q68" s="11"/>
      <c r="R68" s="11"/>
      <c r="S68" s="11"/>
      <c r="T68" s="11"/>
      <c r="U68" s="11"/>
      <c r="V68" s="11"/>
      <c r="W68" s="11"/>
      <c r="X68" s="11"/>
      <c r="Y68" s="11"/>
    </row>
    <row r="69" spans="2:25" x14ac:dyDescent="0.3">
      <c r="M69" s="11"/>
      <c r="N69" s="11"/>
      <c r="O69" s="11"/>
      <c r="P69" s="11"/>
      <c r="Q69" s="11"/>
      <c r="R69" s="11"/>
      <c r="S69" s="11"/>
      <c r="T69" s="11"/>
      <c r="U69" s="11"/>
      <c r="V69" s="11"/>
      <c r="W69" s="11"/>
      <c r="X69" s="11"/>
      <c r="Y69" s="11"/>
    </row>
    <row r="70" spans="2:25" x14ac:dyDescent="0.3">
      <c r="M70" s="11"/>
      <c r="N70" s="11"/>
      <c r="O70" s="11"/>
      <c r="P70" s="11"/>
      <c r="Q70" s="11"/>
      <c r="R70" s="11"/>
      <c r="S70" s="11"/>
      <c r="T70" s="11"/>
      <c r="U70" s="11"/>
      <c r="V70" s="11"/>
      <c r="W70" s="11"/>
      <c r="X70" s="11"/>
      <c r="Y70" s="11"/>
    </row>
    <row r="71" spans="2:25" x14ac:dyDescent="0.3">
      <c r="M71" s="11"/>
      <c r="N71" s="11"/>
      <c r="O71" s="11"/>
      <c r="P71" s="11"/>
      <c r="Q71" s="11"/>
      <c r="R71" s="11"/>
      <c r="S71" s="11"/>
      <c r="T71" s="11"/>
      <c r="U71" s="11"/>
      <c r="V71" s="11"/>
      <c r="W71" s="11"/>
      <c r="X71" s="11"/>
      <c r="Y71" s="11"/>
    </row>
    <row r="72" spans="2:25" x14ac:dyDescent="0.3">
      <c r="M72" s="11"/>
      <c r="N72" s="11"/>
      <c r="O72" s="11"/>
      <c r="P72" s="11"/>
      <c r="Q72" s="11"/>
      <c r="R72" s="11"/>
      <c r="S72" s="11"/>
      <c r="T72" s="11"/>
      <c r="U72" s="11"/>
      <c r="V72" s="11"/>
      <c r="W72" s="11"/>
      <c r="X72" s="11"/>
      <c r="Y72" s="11"/>
    </row>
    <row r="73" spans="2:25" x14ac:dyDescent="0.3">
      <c r="M73" s="11"/>
      <c r="N73" s="11"/>
      <c r="O73" s="11"/>
      <c r="P73" s="11"/>
      <c r="Q73" s="11"/>
      <c r="R73" s="11"/>
      <c r="S73" s="11"/>
      <c r="T73" s="11"/>
      <c r="U73" s="11"/>
      <c r="V73" s="11"/>
      <c r="W73" s="11"/>
      <c r="X73" s="11"/>
      <c r="Y73" s="11"/>
    </row>
    <row r="74" spans="2:25" x14ac:dyDescent="0.3">
      <c r="M74" s="11"/>
      <c r="N74" s="11"/>
      <c r="O74" s="11"/>
      <c r="P74" s="11"/>
      <c r="Q74" s="11"/>
      <c r="R74" s="11"/>
      <c r="S74" s="11"/>
      <c r="T74" s="11"/>
      <c r="U74" s="11"/>
      <c r="V74" s="11"/>
      <c r="W74" s="11"/>
      <c r="X74" s="11"/>
      <c r="Y74" s="11"/>
    </row>
  </sheetData>
  <mergeCells count="13">
    <mergeCell ref="A43:A44"/>
    <mergeCell ref="B43:B44"/>
    <mergeCell ref="A59:A63"/>
    <mergeCell ref="A1:I1"/>
    <mergeCell ref="K12:K13"/>
    <mergeCell ref="K19:K20"/>
    <mergeCell ref="A19:A20"/>
    <mergeCell ref="B19:B20"/>
    <mergeCell ref="B12:B13"/>
    <mergeCell ref="A12:A13"/>
    <mergeCell ref="A3:A4"/>
    <mergeCell ref="B3:B4"/>
    <mergeCell ref="K3:K4"/>
  </mergeCells>
  <phoneticPr fontId="20" type="noConversion"/>
  <printOptions horizontalCentered="1"/>
  <pageMargins left="0.70866141732283472" right="0.70866141732283472" top="0.74803149606299213" bottom="0.74803149606299213" header="0.31496062992125984" footer="0.31496062992125984"/>
  <pageSetup paperSize="9" scale="58" orientation="landscape" r:id="rId1"/>
  <headerFooter>
    <oddHeader>&amp;L&amp;F&amp;R&amp;A</oddHeader>
    <oddFooter>&amp;L&amp;D&amp;C&amp;P/&amp;N&amp;R&amp;T</oddFooter>
  </headerFooter>
  <ignoredErrors>
    <ignoredError sqref="D17:E17 D21:E21 D25:E2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7F819-4A02-44BA-A285-E6F6E8FF5778}">
  <sheetPr codeName="Sheet26">
    <tabColor theme="4"/>
    <pageSetUpPr fitToPage="1"/>
  </sheetPr>
  <dimension ref="A1:M48"/>
  <sheetViews>
    <sheetView showGridLines="0" view="pageBreakPreview" zoomScale="85" zoomScaleNormal="100" zoomScaleSheetLayoutView="85" workbookViewId="0">
      <selection sqref="A1:I1"/>
    </sheetView>
  </sheetViews>
  <sheetFormatPr baseColWidth="10" defaultColWidth="11.26953125" defaultRowHeight="13" x14ac:dyDescent="0.3"/>
  <cols>
    <col min="1" max="1" width="40.453125" style="2" bestFit="1" customWidth="1"/>
    <col min="2" max="2" width="11.453125" style="17" customWidth="1"/>
    <col min="3" max="5" width="12.453125" style="28" bestFit="1" customWidth="1"/>
    <col min="6" max="6" width="12.453125" style="28" customWidth="1"/>
    <col min="7" max="7" width="12.453125" style="28" bestFit="1" customWidth="1"/>
    <col min="8" max="8" width="9.81640625" style="28" bestFit="1" customWidth="1"/>
    <col min="9" max="9" width="12.7265625" style="28" bestFit="1" customWidth="1"/>
    <col min="10" max="10" width="3.54296875" style="2" customWidth="1"/>
    <col min="11" max="11" width="27.453125" style="2" bestFit="1" customWidth="1"/>
    <col min="12" max="12" width="11.26953125" style="2"/>
    <col min="13" max="13" width="15.54296875" style="2" customWidth="1"/>
    <col min="14" max="16384" width="11.26953125" style="2"/>
  </cols>
  <sheetData>
    <row r="1" spans="1:13" ht="30" customHeight="1" x14ac:dyDescent="0.35">
      <c r="A1" s="658" t="s">
        <v>319</v>
      </c>
      <c r="B1" s="659"/>
      <c r="C1" s="659"/>
      <c r="D1" s="659"/>
      <c r="E1" s="659"/>
      <c r="F1" s="659"/>
      <c r="G1" s="659"/>
      <c r="H1" s="659"/>
      <c r="I1" s="660"/>
      <c r="K1"/>
    </row>
    <row r="2" spans="1:13" ht="14.5" x14ac:dyDescent="0.35">
      <c r="K2"/>
    </row>
    <row r="3" spans="1:13" ht="27.65" customHeight="1" x14ac:dyDescent="0.3">
      <c r="A3" s="653" t="s">
        <v>367</v>
      </c>
      <c r="B3" s="655" t="s">
        <v>0</v>
      </c>
      <c r="C3" s="516" t="s">
        <v>470</v>
      </c>
      <c r="D3" s="516" t="s">
        <v>414</v>
      </c>
      <c r="E3" s="516" t="s">
        <v>471</v>
      </c>
      <c r="F3" s="516" t="s">
        <v>472</v>
      </c>
      <c r="G3" s="541" t="s">
        <v>476</v>
      </c>
      <c r="H3" s="619" t="s">
        <v>256</v>
      </c>
      <c r="I3" s="618" t="s">
        <v>59</v>
      </c>
      <c r="K3" s="661" t="s">
        <v>324</v>
      </c>
    </row>
    <row r="4" spans="1:13" x14ac:dyDescent="0.3">
      <c r="A4" s="654"/>
      <c r="B4" s="656"/>
      <c r="C4" s="77">
        <v>12</v>
      </c>
      <c r="D4" s="77">
        <v>12</v>
      </c>
      <c r="E4" s="77">
        <v>12</v>
      </c>
      <c r="F4" s="77">
        <v>12</v>
      </c>
      <c r="G4" s="183">
        <v>12</v>
      </c>
      <c r="H4" s="78">
        <f t="shared" ref="H4:H10" si="0">IFERROR(AVERAGE(C4:G4),0)</f>
        <v>12</v>
      </c>
      <c r="I4" s="78">
        <f t="shared" ref="I4:I10" si="1">SUM(C4:G4)</f>
        <v>60</v>
      </c>
      <c r="K4" s="662"/>
    </row>
    <row r="5" spans="1:13" x14ac:dyDescent="0.3">
      <c r="A5" s="301" t="s">
        <v>347</v>
      </c>
      <c r="B5" s="8"/>
      <c r="C5" s="625"/>
      <c r="D5" s="517">
        <v>16667358.36478504</v>
      </c>
      <c r="E5" s="517">
        <v>17049073.953796949</v>
      </c>
      <c r="F5" s="517">
        <v>17340318.087482359</v>
      </c>
      <c r="G5" s="324">
        <v>17611708.257790316</v>
      </c>
      <c r="H5" s="10">
        <f t="shared" si="0"/>
        <v>17167114.665963665</v>
      </c>
      <c r="I5" s="10">
        <f t="shared" si="1"/>
        <v>68668458.663854659</v>
      </c>
      <c r="J5" s="11"/>
      <c r="K5" s="188"/>
      <c r="L5" s="11"/>
      <c r="M5" s="11"/>
    </row>
    <row r="6" spans="1:13" x14ac:dyDescent="0.3">
      <c r="A6" s="36" t="s">
        <v>316</v>
      </c>
      <c r="B6" s="12"/>
      <c r="C6" s="488"/>
      <c r="D6" s="13">
        <v>87344.123408982501</v>
      </c>
      <c r="E6" s="13">
        <v>89344.47720135258</v>
      </c>
      <c r="F6" s="13">
        <v>90870.721672612461</v>
      </c>
      <c r="G6" s="159">
        <v>92292.922840221945</v>
      </c>
      <c r="H6" s="14">
        <f t="shared" si="0"/>
        <v>89963.061280792375</v>
      </c>
      <c r="I6" s="14">
        <f t="shared" si="1"/>
        <v>359852.2451231695</v>
      </c>
      <c r="J6" s="11"/>
      <c r="K6" s="189"/>
      <c r="L6" s="11"/>
      <c r="M6" s="11"/>
    </row>
    <row r="7" spans="1:13" x14ac:dyDescent="0.3">
      <c r="A7" s="36" t="s">
        <v>448</v>
      </c>
      <c r="B7" s="12"/>
      <c r="C7" s="488"/>
      <c r="D7" s="13">
        <v>21836.030852245625</v>
      </c>
      <c r="E7" s="13">
        <v>22336.119300338145</v>
      </c>
      <c r="F7" s="13">
        <v>22717.680418153115</v>
      </c>
      <c r="G7" s="159">
        <v>23073.230710055486</v>
      </c>
      <c r="H7" s="14">
        <f t="shared" si="0"/>
        <v>22490.765320198094</v>
      </c>
      <c r="I7" s="14">
        <f t="shared" si="1"/>
        <v>89963.061280792375</v>
      </c>
      <c r="J7" s="11"/>
      <c r="K7" s="189"/>
      <c r="L7" s="11"/>
      <c r="M7" s="11"/>
    </row>
    <row r="8" spans="1:13" x14ac:dyDescent="0.3">
      <c r="A8" s="36" t="s">
        <v>351</v>
      </c>
      <c r="B8" s="12"/>
      <c r="C8" s="488"/>
      <c r="D8" s="13">
        <v>20408.290373444954</v>
      </c>
      <c r="E8" s="13">
        <v>20875.680730700653</v>
      </c>
      <c r="F8" s="13">
        <v>21232.293621581568</v>
      </c>
      <c r="G8" s="159">
        <v>21564.596394398013</v>
      </c>
      <c r="H8" s="14">
        <f t="shared" si="0"/>
        <v>21020.215280031298</v>
      </c>
      <c r="I8" s="14">
        <f t="shared" si="1"/>
        <v>84080.861120125192</v>
      </c>
      <c r="J8" s="11"/>
      <c r="K8" s="189"/>
      <c r="L8" s="11"/>
      <c r="M8" s="11"/>
    </row>
    <row r="9" spans="1:13" x14ac:dyDescent="0.3">
      <c r="A9" s="602" t="s">
        <v>496</v>
      </c>
      <c r="B9" s="603"/>
      <c r="C9" s="604"/>
      <c r="D9" s="626">
        <v>2568246.9501506751</v>
      </c>
      <c r="E9" s="626">
        <v>2589295.1241666316</v>
      </c>
      <c r="F9" s="626">
        <v>2596698.5716691301</v>
      </c>
      <c r="G9" s="606">
        <v>2600319.7344789151</v>
      </c>
      <c r="H9" s="14">
        <f t="shared" si="0"/>
        <v>2588640.0951163378</v>
      </c>
      <c r="I9" s="14">
        <f t="shared" si="1"/>
        <v>10354560.380465351</v>
      </c>
      <c r="J9" s="11"/>
      <c r="K9" s="189"/>
      <c r="L9" s="11"/>
      <c r="M9" s="11"/>
    </row>
    <row r="10" spans="1:13" s="5" customFormat="1" x14ac:dyDescent="0.3">
      <c r="A10" s="96" t="s">
        <v>364</v>
      </c>
      <c r="B10" s="57" t="s">
        <v>322</v>
      </c>
      <c r="C10" s="479"/>
      <c r="D10" s="19">
        <f>SUM(D5:D9)</f>
        <v>19365193.75957039</v>
      </c>
      <c r="E10" s="19">
        <f t="shared" ref="E10:G10" si="2">SUM(E5:E9)</f>
        <v>19770925.355195973</v>
      </c>
      <c r="F10" s="19">
        <f t="shared" si="2"/>
        <v>20071837.354863837</v>
      </c>
      <c r="G10" s="35">
        <f t="shared" si="2"/>
        <v>20348958.742213905</v>
      </c>
      <c r="H10" s="20">
        <f t="shared" si="0"/>
        <v>19889228.802961025</v>
      </c>
      <c r="I10" s="20">
        <f t="shared" si="1"/>
        <v>79556915.211844102</v>
      </c>
      <c r="J10" s="6"/>
      <c r="K10" s="190"/>
    </row>
    <row r="11" spans="1:13" x14ac:dyDescent="0.3">
      <c r="C11" s="13"/>
      <c r="D11" s="13"/>
      <c r="E11" s="13"/>
      <c r="F11" s="13"/>
      <c r="G11" s="13"/>
      <c r="H11" s="13"/>
      <c r="I11" s="13"/>
    </row>
    <row r="12" spans="1:13" ht="27.65" customHeight="1" x14ac:dyDescent="0.3">
      <c r="A12" s="653" t="s">
        <v>197</v>
      </c>
      <c r="B12" s="655" t="s">
        <v>0</v>
      </c>
      <c r="C12" s="516" t="str">
        <f>Annee0</f>
        <v>Année 0</v>
      </c>
      <c r="D12" s="516" t="str">
        <f>Annee1</f>
        <v>Année 1</v>
      </c>
      <c r="E12" s="516" t="str">
        <f>Annee2</f>
        <v>Année 2</v>
      </c>
      <c r="F12" s="516" t="str">
        <f>Annee3</f>
        <v>Année 3</v>
      </c>
      <c r="G12" s="541" t="str">
        <f>Annee4</f>
        <v>Année 4</v>
      </c>
      <c r="H12" s="619" t="s">
        <v>256</v>
      </c>
      <c r="I12" s="618" t="s">
        <v>59</v>
      </c>
      <c r="K12" s="661" t="s">
        <v>324</v>
      </c>
    </row>
    <row r="13" spans="1:13" x14ac:dyDescent="0.3">
      <c r="A13" s="654"/>
      <c r="B13" s="656"/>
      <c r="C13" s="77">
        <v>12</v>
      </c>
      <c r="D13" s="77">
        <v>12</v>
      </c>
      <c r="E13" s="77">
        <v>12</v>
      </c>
      <c r="F13" s="77">
        <v>12</v>
      </c>
      <c r="G13" s="183">
        <v>12</v>
      </c>
      <c r="H13" s="78">
        <f>IFERROR(AVERAGE(C13:G13),0)</f>
        <v>12</v>
      </c>
      <c r="I13" s="78">
        <f>SUM(C13:G13)</f>
        <v>60</v>
      </c>
      <c r="K13" s="662"/>
    </row>
    <row r="14" spans="1:13" x14ac:dyDescent="0.3">
      <c r="A14" s="301" t="s">
        <v>62</v>
      </c>
      <c r="B14" s="8"/>
      <c r="C14" s="625"/>
      <c r="D14" s="517">
        <v>11132.5</v>
      </c>
      <c r="E14" s="517">
        <v>11873.5</v>
      </c>
      <c r="F14" s="517">
        <v>16318</v>
      </c>
      <c r="G14" s="324">
        <v>17340.5</v>
      </c>
      <c r="H14" s="10">
        <f>IFERROR(AVERAGE(C14:G14),0)</f>
        <v>14166.125</v>
      </c>
      <c r="I14" s="10">
        <f>SUM(C14:G14)</f>
        <v>56664.5</v>
      </c>
      <c r="J14" s="11"/>
      <c r="K14" s="188"/>
      <c r="L14" s="11"/>
      <c r="M14" s="11"/>
    </row>
    <row r="15" spans="1:13" x14ac:dyDescent="0.3">
      <c r="A15" s="36" t="s">
        <v>318</v>
      </c>
      <c r="B15" s="12"/>
      <c r="C15" s="488"/>
      <c r="D15" s="13">
        <v>95000</v>
      </c>
      <c r="E15" s="13">
        <v>95000</v>
      </c>
      <c r="F15" s="13">
        <v>95000</v>
      </c>
      <c r="G15" s="159">
        <v>95000</v>
      </c>
      <c r="H15" s="14">
        <f>IFERROR(AVERAGE(C15:G15),0)</f>
        <v>95000</v>
      </c>
      <c r="I15" s="14">
        <f>SUM(C15:G15)</f>
        <v>380000</v>
      </c>
      <c r="J15" s="11"/>
      <c r="K15" s="189"/>
      <c r="L15" s="11"/>
    </row>
    <row r="16" spans="1:13" x14ac:dyDescent="0.3">
      <c r="A16" s="59" t="s">
        <v>63</v>
      </c>
      <c r="B16" s="15"/>
      <c r="C16" s="513"/>
      <c r="D16" s="106">
        <v>0</v>
      </c>
      <c r="E16" s="106">
        <v>0</v>
      </c>
      <c r="F16" s="106">
        <v>0</v>
      </c>
      <c r="G16" s="185">
        <v>0</v>
      </c>
      <c r="H16" s="16">
        <f>IFERROR(AVERAGE(C16:G16),0)</f>
        <v>0</v>
      </c>
      <c r="I16" s="16">
        <f>SUM(C16:G16)</f>
        <v>0</v>
      </c>
      <c r="J16" s="11"/>
      <c r="K16" s="189"/>
      <c r="L16" s="11"/>
    </row>
    <row r="17" spans="1:13" s="5" customFormat="1" x14ac:dyDescent="0.3">
      <c r="A17" s="96" t="s">
        <v>203</v>
      </c>
      <c r="B17" s="57" t="s">
        <v>322</v>
      </c>
      <c r="C17" s="479"/>
      <c r="D17" s="19">
        <f t="shared" ref="D17:G17" si="3">SUM(D14:D16)</f>
        <v>106132.5</v>
      </c>
      <c r="E17" s="19">
        <f t="shared" si="3"/>
        <v>106873.5</v>
      </c>
      <c r="F17" s="19">
        <f t="shared" si="3"/>
        <v>111318</v>
      </c>
      <c r="G17" s="35">
        <f t="shared" si="3"/>
        <v>112340.5</v>
      </c>
      <c r="H17" s="20">
        <f>IFERROR(AVERAGE(C17:G17),0)</f>
        <v>109166.125</v>
      </c>
      <c r="I17" s="20">
        <f>SUM(C17:G17)</f>
        <v>436664.5</v>
      </c>
      <c r="J17" s="6"/>
      <c r="K17" s="190"/>
      <c r="M17" s="2"/>
    </row>
    <row r="18" spans="1:13" ht="14.5" x14ac:dyDescent="0.35">
      <c r="C18" s="13"/>
      <c r="D18" s="13"/>
      <c r="E18" s="13"/>
      <c r="F18" s="13"/>
      <c r="G18" s="13"/>
      <c r="H18" s="13"/>
      <c r="I18" s="13"/>
      <c r="K18"/>
    </row>
    <row r="19" spans="1:13" ht="27.65" customHeight="1" x14ac:dyDescent="0.3">
      <c r="A19" s="653" t="s">
        <v>194</v>
      </c>
      <c r="B19" s="655" t="s">
        <v>0</v>
      </c>
      <c r="C19" s="516" t="str">
        <f>Annee0</f>
        <v>Année 0</v>
      </c>
      <c r="D19" s="516" t="str">
        <f>Annee1</f>
        <v>Année 1</v>
      </c>
      <c r="E19" s="516" t="str">
        <f>Annee2</f>
        <v>Année 2</v>
      </c>
      <c r="F19" s="516" t="str">
        <f>Annee3</f>
        <v>Année 3</v>
      </c>
      <c r="G19" s="541" t="str">
        <f>Annee4</f>
        <v>Année 4</v>
      </c>
      <c r="H19" s="619" t="s">
        <v>256</v>
      </c>
      <c r="I19" s="618" t="s">
        <v>59</v>
      </c>
      <c r="K19" s="663" t="s">
        <v>324</v>
      </c>
    </row>
    <row r="20" spans="1:13" x14ac:dyDescent="0.3">
      <c r="A20" s="654"/>
      <c r="B20" s="656"/>
      <c r="C20" s="77">
        <v>12</v>
      </c>
      <c r="D20" s="77">
        <v>12</v>
      </c>
      <c r="E20" s="77">
        <v>12</v>
      </c>
      <c r="F20" s="77">
        <v>12</v>
      </c>
      <c r="G20" s="183">
        <v>12</v>
      </c>
      <c r="H20" s="78">
        <f t="shared" ref="H20:H36" si="4">IFERROR(AVERAGE(C20:G20),0)</f>
        <v>12</v>
      </c>
      <c r="I20" s="78">
        <f t="shared" ref="I20:I39" si="5">SUM(C20:G20)</f>
        <v>60</v>
      </c>
      <c r="K20" s="663"/>
    </row>
    <row r="21" spans="1:13" s="5" customFormat="1" x14ac:dyDescent="0.3">
      <c r="A21" s="302" t="s">
        <v>193</v>
      </c>
      <c r="B21" s="151" t="s">
        <v>164</v>
      </c>
      <c r="C21" s="511"/>
      <c r="D21" s="110">
        <f t="shared" ref="D21:G21" si="6">SUM(D22:D24)</f>
        <v>28957670.495820239</v>
      </c>
      <c r="E21" s="110">
        <f t="shared" si="6"/>
        <v>29545971.877112806</v>
      </c>
      <c r="F21" s="110">
        <f t="shared" si="6"/>
        <v>29236302.850678496</v>
      </c>
      <c r="G21" s="186">
        <f t="shared" si="6"/>
        <v>30059139.114810906</v>
      </c>
      <c r="H21" s="24">
        <f t="shared" si="4"/>
        <v>29449771.084605612</v>
      </c>
      <c r="I21" s="24">
        <f t="shared" si="5"/>
        <v>117799084.33842245</v>
      </c>
      <c r="K21" s="189"/>
      <c r="L21" s="6"/>
      <c r="M21" s="2"/>
    </row>
    <row r="22" spans="1:13" x14ac:dyDescent="0.3">
      <c r="A22" s="36" t="s">
        <v>1</v>
      </c>
      <c r="B22" s="12"/>
      <c r="C22" s="488"/>
      <c r="D22" s="13">
        <v>8767257.2099190503</v>
      </c>
      <c r="E22" s="13">
        <v>9178026.9348552767</v>
      </c>
      <c r="F22" s="13">
        <v>8737897.1740630344</v>
      </c>
      <c r="G22" s="159">
        <v>9422749.6912939511</v>
      </c>
      <c r="H22" s="14">
        <f t="shared" si="4"/>
        <v>9026482.7525328286</v>
      </c>
      <c r="I22" s="14">
        <f t="shared" si="5"/>
        <v>36105931.010131314</v>
      </c>
      <c r="K22" s="188" t="s">
        <v>305</v>
      </c>
    </row>
    <row r="23" spans="1:13" x14ac:dyDescent="0.3">
      <c r="A23" s="36" t="s">
        <v>385</v>
      </c>
      <c r="B23" s="12"/>
      <c r="C23" s="488"/>
      <c r="D23" s="13">
        <v>19940228.31590119</v>
      </c>
      <c r="E23" s="13">
        <v>20117359.972257532</v>
      </c>
      <c r="F23" s="13">
        <v>20244441.706615463</v>
      </c>
      <c r="G23" s="159">
        <v>20383500.453516956</v>
      </c>
      <c r="H23" s="14">
        <f t="shared" si="4"/>
        <v>20171382.612072784</v>
      </c>
      <c r="I23" s="14">
        <f t="shared" si="5"/>
        <v>80685530.448291138</v>
      </c>
      <c r="K23" s="189" t="s">
        <v>294</v>
      </c>
    </row>
    <row r="24" spans="1:13" x14ac:dyDescent="0.3">
      <c r="A24" s="36" t="s">
        <v>2</v>
      </c>
      <c r="B24" s="12"/>
      <c r="C24" s="488"/>
      <c r="D24" s="13">
        <v>250184.97</v>
      </c>
      <c r="E24" s="13">
        <v>250584.97</v>
      </c>
      <c r="F24" s="13">
        <v>253963.97</v>
      </c>
      <c r="G24" s="159">
        <v>252888.97</v>
      </c>
      <c r="H24" s="14">
        <f t="shared" si="4"/>
        <v>251905.72</v>
      </c>
      <c r="I24" s="14">
        <f t="shared" si="5"/>
        <v>1007622.88</v>
      </c>
      <c r="K24" s="189" t="s">
        <v>295</v>
      </c>
    </row>
    <row r="25" spans="1:13" s="5" customFormat="1" x14ac:dyDescent="0.3">
      <c r="A25" s="302" t="s">
        <v>195</v>
      </c>
      <c r="B25" s="151" t="s">
        <v>81</v>
      </c>
      <c r="C25" s="23">
        <f>C34</f>
        <v>250000</v>
      </c>
      <c r="D25" s="23">
        <f t="shared" ref="D25:G25" si="7">SUM(D26:D35)</f>
        <v>20827000.548878998</v>
      </c>
      <c r="E25" s="23">
        <f t="shared" si="7"/>
        <v>20725718.072453238</v>
      </c>
      <c r="F25" s="23">
        <f t="shared" si="7"/>
        <v>20873942.536316093</v>
      </c>
      <c r="G25" s="179">
        <f t="shared" si="7"/>
        <v>20762740.997647222</v>
      </c>
      <c r="H25" s="24">
        <f t="shared" si="4"/>
        <v>16687880.431059111</v>
      </c>
      <c r="I25" s="24">
        <f t="shared" si="5"/>
        <v>83439402.155295551</v>
      </c>
      <c r="K25" s="190"/>
      <c r="L25" s="6"/>
      <c r="M25" s="2"/>
    </row>
    <row r="26" spans="1:13" x14ac:dyDescent="0.3">
      <c r="A26" s="36" t="s">
        <v>3</v>
      </c>
      <c r="B26" s="152"/>
      <c r="C26" s="488"/>
      <c r="D26" s="13">
        <v>1933127.8703314299</v>
      </c>
      <c r="E26" s="13">
        <v>1835627.8703314299</v>
      </c>
      <c r="F26" s="13">
        <v>1898127.8703314299</v>
      </c>
      <c r="G26" s="159">
        <v>1836627.8703314299</v>
      </c>
      <c r="H26" s="14">
        <f t="shared" si="4"/>
        <v>1875877.8703314299</v>
      </c>
      <c r="I26" s="14">
        <f t="shared" si="5"/>
        <v>7503511.4813257195</v>
      </c>
      <c r="K26" s="189" t="s">
        <v>303</v>
      </c>
    </row>
    <row r="27" spans="1:13" x14ac:dyDescent="0.3">
      <c r="A27" s="36" t="s">
        <v>275</v>
      </c>
      <c r="B27" s="12"/>
      <c r="C27" s="488"/>
      <c r="D27" s="13">
        <v>771468.80000000005</v>
      </c>
      <c r="E27" s="13">
        <v>771468.80000000005</v>
      </c>
      <c r="F27" s="13">
        <v>771468.80000000005</v>
      </c>
      <c r="G27" s="159">
        <v>771468.80000000005</v>
      </c>
      <c r="H27" s="14">
        <f t="shared" si="4"/>
        <v>771468.80000000005</v>
      </c>
      <c r="I27" s="14">
        <f t="shared" si="5"/>
        <v>3085875.2000000002</v>
      </c>
      <c r="K27" s="189" t="s">
        <v>303</v>
      </c>
    </row>
    <row r="28" spans="1:13" x14ac:dyDescent="0.3">
      <c r="A28" s="36" t="s">
        <v>162</v>
      </c>
      <c r="B28" s="12"/>
      <c r="C28" s="488"/>
      <c r="D28" s="13">
        <v>9609404.2946526501</v>
      </c>
      <c r="E28" s="13">
        <v>9568204.2146874014</v>
      </c>
      <c r="F28" s="13">
        <v>9640305.2555843499</v>
      </c>
      <c r="G28" s="159">
        <v>9665311.1270083915</v>
      </c>
      <c r="H28" s="14">
        <f t="shared" si="4"/>
        <v>9620806.2229831982</v>
      </c>
      <c r="I28" s="14">
        <f t="shared" si="5"/>
        <v>38483224.891932793</v>
      </c>
      <c r="K28" s="189" t="s">
        <v>304</v>
      </c>
    </row>
    <row r="29" spans="1:13" x14ac:dyDescent="0.3">
      <c r="A29" s="36" t="s">
        <v>4</v>
      </c>
      <c r="B29" s="12"/>
      <c r="C29" s="488"/>
      <c r="D29" s="13">
        <v>1855449.4632875626</v>
      </c>
      <c r="E29" s="13">
        <v>1871271.3589813844</v>
      </c>
      <c r="F29" s="13">
        <v>1878276.5440573909</v>
      </c>
      <c r="G29" s="159">
        <v>1902537.0362038317</v>
      </c>
      <c r="H29" s="14">
        <f t="shared" si="4"/>
        <v>1876883.6006325423</v>
      </c>
      <c r="I29" s="14">
        <f t="shared" si="5"/>
        <v>7507534.4025301691</v>
      </c>
      <c r="K29" s="189" t="s">
        <v>304</v>
      </c>
    </row>
    <row r="30" spans="1:13" x14ac:dyDescent="0.3">
      <c r="A30" s="36" t="s">
        <v>5</v>
      </c>
      <c r="B30" s="12"/>
      <c r="C30" s="488"/>
      <c r="D30" s="13">
        <v>708189.6949932361</v>
      </c>
      <c r="E30" s="13">
        <v>713156.71238099318</v>
      </c>
      <c r="F30" s="13">
        <v>715445.12210276129</v>
      </c>
      <c r="G30" s="159">
        <v>722856.61348869454</v>
      </c>
      <c r="H30" s="14">
        <f t="shared" si="4"/>
        <v>714912.03574142128</v>
      </c>
      <c r="I30" s="14">
        <f t="shared" si="5"/>
        <v>2859648.1429656851</v>
      </c>
      <c r="K30" s="189" t="s">
        <v>303</v>
      </c>
    </row>
    <row r="31" spans="1:13" ht="12.25" customHeight="1" x14ac:dyDescent="0.3">
      <c r="A31" s="36" t="s">
        <v>172</v>
      </c>
      <c r="B31" s="12"/>
      <c r="C31" s="488"/>
      <c r="D31" s="13">
        <v>291313.44444444444</v>
      </c>
      <c r="E31" s="13">
        <v>326313.44444444444</v>
      </c>
      <c r="F31" s="13">
        <v>347313.44444444444</v>
      </c>
      <c r="G31" s="159">
        <v>198413.84444444446</v>
      </c>
      <c r="H31" s="14">
        <f t="shared" si="4"/>
        <v>290838.54444444441</v>
      </c>
      <c r="I31" s="14">
        <f t="shared" si="5"/>
        <v>1163354.1777777777</v>
      </c>
      <c r="K31" s="189" t="s">
        <v>302</v>
      </c>
    </row>
    <row r="32" spans="1:13" ht="12.25" customHeight="1" x14ac:dyDescent="0.3">
      <c r="A32" s="36" t="s">
        <v>178</v>
      </c>
      <c r="B32" s="12"/>
      <c r="C32" s="488"/>
      <c r="D32" s="13">
        <v>370000</v>
      </c>
      <c r="E32" s="13">
        <v>370000</v>
      </c>
      <c r="F32" s="13">
        <v>370000</v>
      </c>
      <c r="G32" s="159">
        <v>370000</v>
      </c>
      <c r="H32" s="14">
        <f t="shared" si="4"/>
        <v>370000</v>
      </c>
      <c r="I32" s="14">
        <f t="shared" si="5"/>
        <v>1480000</v>
      </c>
      <c r="K32" s="189"/>
    </row>
    <row r="33" spans="1:13" x14ac:dyDescent="0.3">
      <c r="A33" s="36" t="s">
        <v>6</v>
      </c>
      <c r="B33" s="12"/>
      <c r="C33" s="488"/>
      <c r="D33" s="13">
        <v>3421799.7693655244</v>
      </c>
      <c r="E33" s="13">
        <v>3391936.0743218274</v>
      </c>
      <c r="F33" s="13">
        <v>3369994.521931496</v>
      </c>
      <c r="G33" s="159">
        <v>3395369.7939422275</v>
      </c>
      <c r="H33" s="14">
        <f t="shared" si="4"/>
        <v>3394775.0398902688</v>
      </c>
      <c r="I33" s="14">
        <f t="shared" si="5"/>
        <v>13579100.159561075</v>
      </c>
      <c r="K33" s="189" t="s">
        <v>301</v>
      </c>
    </row>
    <row r="34" spans="1:13" x14ac:dyDescent="0.3">
      <c r="A34" s="36" t="s">
        <v>443</v>
      </c>
      <c r="B34" s="12"/>
      <c r="C34" s="13">
        <v>250000</v>
      </c>
      <c r="D34" s="13">
        <v>0</v>
      </c>
      <c r="E34" s="13">
        <v>0</v>
      </c>
      <c r="F34" s="13">
        <v>0</v>
      </c>
      <c r="G34" s="159">
        <v>0</v>
      </c>
      <c r="H34" s="14">
        <f t="shared" si="4"/>
        <v>50000</v>
      </c>
      <c r="I34" s="14">
        <f t="shared" si="5"/>
        <v>250000</v>
      </c>
      <c r="K34" s="189"/>
    </row>
    <row r="35" spans="1:13" x14ac:dyDescent="0.3">
      <c r="A35" s="36" t="s">
        <v>192</v>
      </c>
      <c r="B35" s="12"/>
      <c r="C35" s="488"/>
      <c r="D35" s="13">
        <v>1866247.211804152</v>
      </c>
      <c r="E35" s="13">
        <v>1877739.597305757</v>
      </c>
      <c r="F35" s="13">
        <v>1883010.9778642224</v>
      </c>
      <c r="G35" s="159">
        <v>1900155.9122282029</v>
      </c>
      <c r="H35" s="14">
        <f t="shared" si="4"/>
        <v>1881788.4248005836</v>
      </c>
      <c r="I35" s="14">
        <f t="shared" si="5"/>
        <v>7527153.6992023345</v>
      </c>
      <c r="K35" s="189"/>
    </row>
    <row r="36" spans="1:13" s="5" customFormat="1" x14ac:dyDescent="0.3">
      <c r="A36" s="302" t="s">
        <v>196</v>
      </c>
      <c r="B36" s="151" t="s">
        <v>82</v>
      </c>
      <c r="C36" s="510"/>
      <c r="D36" s="23">
        <f t="shared" ref="D36:E36" si="8">SUM(D37:D38)</f>
        <v>32847711.249650899</v>
      </c>
      <c r="E36" s="23">
        <f t="shared" si="8"/>
        <v>32963659.826135013</v>
      </c>
      <c r="F36" s="23">
        <f>SUM(F37:F38)</f>
        <v>33407998.222761057</v>
      </c>
      <c r="G36" s="179">
        <f t="shared" ref="G36" si="9">SUM(G37:G38)</f>
        <v>33596800.559812486</v>
      </c>
      <c r="H36" s="24">
        <f t="shared" si="4"/>
        <v>33204042.464589864</v>
      </c>
      <c r="I36" s="24">
        <f t="shared" si="5"/>
        <v>132816169.85835946</v>
      </c>
      <c r="K36" s="190" t="s">
        <v>306</v>
      </c>
      <c r="L36" s="6"/>
      <c r="M36" s="2"/>
    </row>
    <row r="37" spans="1:13" x14ac:dyDescent="0.3">
      <c r="A37" s="36" t="s">
        <v>384</v>
      </c>
      <c r="B37" s="12"/>
      <c r="C37" s="488"/>
      <c r="D37" s="13">
        <v>21544335.94090797</v>
      </c>
      <c r="E37" s="13">
        <v>21615538.42964432</v>
      </c>
      <c r="F37" s="13">
        <v>21888400.767762188</v>
      </c>
      <c r="G37" s="159">
        <v>22004341.788212255</v>
      </c>
      <c r="H37" s="14">
        <f>IFERROR(AVERAGE(C37:G37),0)</f>
        <v>21763154.231631681</v>
      </c>
      <c r="I37" s="14">
        <f t="shared" si="5"/>
        <v>87052616.926526725</v>
      </c>
      <c r="K37" s="188"/>
    </row>
    <row r="38" spans="1:13" x14ac:dyDescent="0.3">
      <c r="A38" s="36" t="s">
        <v>386</v>
      </c>
      <c r="B38" s="12"/>
      <c r="C38" s="488"/>
      <c r="D38" s="13">
        <v>11303375.308742929</v>
      </c>
      <c r="E38" s="13">
        <v>11348121.396490693</v>
      </c>
      <c r="F38" s="13">
        <v>11519597.454998871</v>
      </c>
      <c r="G38" s="159">
        <v>11592458.771600232</v>
      </c>
      <c r="H38" s="14">
        <f>IFERROR(AVERAGE(C38:G38),0)</f>
        <v>11440888.232958181</v>
      </c>
      <c r="I38" s="14">
        <f t="shared" si="5"/>
        <v>45763552.931832723</v>
      </c>
      <c r="K38" s="189"/>
    </row>
    <row r="39" spans="1:13" s="5" customFormat="1" x14ac:dyDescent="0.3">
      <c r="A39" s="96" t="s">
        <v>204</v>
      </c>
      <c r="B39" s="57"/>
      <c r="C39" s="19">
        <f>C25</f>
        <v>250000</v>
      </c>
      <c r="D39" s="19">
        <f t="shared" ref="D39:G39" si="10">D21+D25+D36</f>
        <v>82632382.294350132</v>
      </c>
      <c r="E39" s="19">
        <f t="shared" si="10"/>
        <v>83235349.775701061</v>
      </c>
      <c r="F39" s="19">
        <f t="shared" si="10"/>
        <v>83518243.609755635</v>
      </c>
      <c r="G39" s="35">
        <f t="shared" si="10"/>
        <v>84418680.672270611</v>
      </c>
      <c r="H39" s="20">
        <f>IFERROR(AVERAGE(C39:G39),0)</f>
        <v>66810931.270415485</v>
      </c>
      <c r="I39" s="35">
        <f t="shared" si="5"/>
        <v>334054656.35207742</v>
      </c>
      <c r="J39" s="6"/>
      <c r="K39" s="190"/>
      <c r="L39" s="180"/>
      <c r="M39" s="2"/>
    </row>
    <row r="40" spans="1:13" x14ac:dyDescent="0.3">
      <c r="B40" s="2"/>
      <c r="C40" s="11"/>
      <c r="D40" s="11"/>
      <c r="E40" s="11"/>
      <c r="F40" s="11"/>
      <c r="G40" s="11"/>
      <c r="H40" s="588"/>
      <c r="I40" s="11"/>
      <c r="K40" s="11"/>
    </row>
    <row r="41" spans="1:13" x14ac:dyDescent="0.3">
      <c r="A41" s="657" t="s">
        <v>391</v>
      </c>
      <c r="B41" s="455" t="str" cm="1">
        <f t="array" ref="B41">_xlfn.IFNA(_xlfn.IFS(C41=FALSE,"EF",D41=FALSE,"EF",E41=FALSE,"EF",G41=FALSE,"EF",H41=FALSE,"EF",I41=FALSE,"EF"),"")</f>
        <v/>
      </c>
      <c r="C41" s="456" t="s">
        <v>480</v>
      </c>
      <c r="D41" s="456" t="s">
        <v>480</v>
      </c>
      <c r="E41" s="456" t="s">
        <v>480</v>
      </c>
      <c r="F41" s="456" t="s">
        <v>480</v>
      </c>
      <c r="G41" s="456" t="s">
        <v>480</v>
      </c>
      <c r="H41" s="456" t="s">
        <v>480</v>
      </c>
      <c r="I41" s="456" t="s">
        <v>480</v>
      </c>
    </row>
    <row r="42" spans="1:13" x14ac:dyDescent="0.3">
      <c r="A42" s="657"/>
      <c r="B42" s="455" t="str" cm="1">
        <f t="array" ref="B42">_xlfn.IFNA(_xlfn.IFS(C42=FALSE,"OR",D42=FALSE,"OR",E42=FALSE,"OR",G42=FALSE,"OR",H42=FALSE,"OR",I42=FALSE,"OR"),"")</f>
        <v/>
      </c>
      <c r="C42" s="456" t="s">
        <v>480</v>
      </c>
      <c r="D42" s="456" t="s">
        <v>480</v>
      </c>
      <c r="E42" s="456" t="s">
        <v>480</v>
      </c>
      <c r="F42" s="456" t="s">
        <v>480</v>
      </c>
      <c r="G42" s="456" t="s">
        <v>480</v>
      </c>
      <c r="H42" s="456" t="s">
        <v>480</v>
      </c>
      <c r="I42" s="456" t="s">
        <v>480</v>
      </c>
    </row>
    <row r="43" spans="1:13" x14ac:dyDescent="0.3">
      <c r="A43" s="657"/>
      <c r="B43" s="455" t="str" cm="1">
        <f t="array" ref="B43">_xlfn.IFNA(_xlfn.IFS(C43=FALSE,"CV",D43=FALSE,"CV",E43=FALSE,"CV",G43=FALSE,"CV",H43=FALSE,"CV",I43=FALSE,"CV"),"")</f>
        <v/>
      </c>
      <c r="C43" s="456" t="s">
        <v>480</v>
      </c>
      <c r="D43" s="456" t="s">
        <v>480</v>
      </c>
      <c r="E43" s="456" t="s">
        <v>480</v>
      </c>
      <c r="F43" s="456" t="s">
        <v>480</v>
      </c>
      <c r="G43" s="456" t="s">
        <v>480</v>
      </c>
      <c r="H43" s="456" t="s">
        <v>480</v>
      </c>
      <c r="I43" s="456" t="s">
        <v>480</v>
      </c>
    </row>
    <row r="44" spans="1:13" x14ac:dyDescent="0.3">
      <c r="A44" s="657"/>
      <c r="B44" s="455" t="str" cm="1">
        <f t="array" ref="B44">_xlfn.IFNA(_xlfn.IFS(C44=FALSE,"CF",D44=FALSE,"CF",E44=FALSE,"CF",G44=FALSE,"CF",H44=FALSE,"CF",I44=FALSE,"CF"),"")</f>
        <v/>
      </c>
      <c r="C44" s="456" t="s">
        <v>480</v>
      </c>
      <c r="D44" s="456" t="s">
        <v>480</v>
      </c>
      <c r="E44" s="456" t="s">
        <v>480</v>
      </c>
      <c r="F44" s="456" t="s">
        <v>480</v>
      </c>
      <c r="G44" s="456" t="s">
        <v>480</v>
      </c>
      <c r="H44" s="456" t="s">
        <v>480</v>
      </c>
      <c r="I44" s="456" t="s">
        <v>480</v>
      </c>
    </row>
    <row r="45" spans="1:13" x14ac:dyDescent="0.3">
      <c r="A45" s="657"/>
      <c r="B45" s="455" t="str" cm="1">
        <f t="array" ref="B45">_xlfn.IFNA(_xlfn.IFS(C45=FALSE,"CST",D45=FALSE,"CST",E45=FALSE,"CST",G45=FALSE,"CST",H45=FALSE,"CST",I45=FALSE,"CST"),"")</f>
        <v/>
      </c>
      <c r="C45" s="456" t="s">
        <v>480</v>
      </c>
      <c r="D45" s="456" t="s">
        <v>480</v>
      </c>
      <c r="E45" s="456" t="s">
        <v>480</v>
      </c>
      <c r="F45" s="456" t="s">
        <v>480</v>
      </c>
      <c r="G45" s="456" t="s">
        <v>480</v>
      </c>
      <c r="H45" s="456" t="s">
        <v>480</v>
      </c>
      <c r="I45" s="456" t="s">
        <v>480</v>
      </c>
    </row>
    <row r="48" spans="1:13" x14ac:dyDescent="0.3">
      <c r="B48" s="2"/>
      <c r="C48" s="13"/>
      <c r="D48" s="13"/>
      <c r="E48" s="13"/>
      <c r="F48" s="13"/>
      <c r="G48" s="13"/>
      <c r="H48" s="2"/>
      <c r="I48" s="2"/>
    </row>
  </sheetData>
  <mergeCells count="11">
    <mergeCell ref="A19:A20"/>
    <mergeCell ref="B19:B20"/>
    <mergeCell ref="K19:K20"/>
    <mergeCell ref="A41:A45"/>
    <mergeCell ref="A1:I1"/>
    <mergeCell ref="A3:A4"/>
    <mergeCell ref="B3:B4"/>
    <mergeCell ref="K3:K4"/>
    <mergeCell ref="A12:A13"/>
    <mergeCell ref="B12:B13"/>
    <mergeCell ref="K12:K13"/>
  </mergeCells>
  <printOptions horizontalCentered="1"/>
  <pageMargins left="0.70866141732283472" right="0.70866141732283472" top="0.74803149606299213" bottom="0.74803149606299213" header="0.31496062992125984" footer="0.31496062992125984"/>
  <pageSetup paperSize="9" scale="78" orientation="landscape" r:id="rId1"/>
  <headerFooter>
    <oddHeader>&amp;L&amp;F&amp;R&amp;A</oddHeader>
    <oddFooter>&amp;L&amp;D&amp;C&amp;P/&amp;N&amp;R&amp;T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64260-00BC-45D1-AA3F-FB4CB36E1456}">
  <sheetPr codeName="Sheet23">
    <tabColor theme="3" tint="0.39997558519241921"/>
    <pageSetUpPr fitToPage="1"/>
  </sheetPr>
  <dimension ref="A1:V66"/>
  <sheetViews>
    <sheetView showGridLines="0" view="pageBreakPreview" zoomScale="85" zoomScaleNormal="100" zoomScaleSheetLayoutView="85" workbookViewId="0">
      <selection sqref="A1:I1"/>
    </sheetView>
  </sheetViews>
  <sheetFormatPr baseColWidth="10" defaultColWidth="11.26953125" defaultRowHeight="13" outlineLevelCol="1" x14ac:dyDescent="0.3"/>
  <cols>
    <col min="1" max="1" width="40.453125" style="2" bestFit="1" customWidth="1"/>
    <col min="2" max="2" width="11.453125" style="17" customWidth="1"/>
    <col min="3" max="5" width="12.453125" style="28" bestFit="1" customWidth="1"/>
    <col min="6" max="6" width="12.453125" style="28" customWidth="1"/>
    <col min="7" max="7" width="12.453125" style="28" bestFit="1" customWidth="1"/>
    <col min="8" max="8" width="9.81640625" style="28" bestFit="1" customWidth="1"/>
    <col min="9" max="9" width="12.7265625" style="28" bestFit="1" customWidth="1"/>
    <col min="10" max="10" width="3.54296875" style="2" customWidth="1"/>
    <col min="11" max="11" width="27.453125" style="2" bestFit="1" customWidth="1"/>
    <col min="12" max="12" width="11.26953125" style="2"/>
    <col min="13" max="13" width="15.54296875" style="2" customWidth="1"/>
    <col min="14" max="19" width="15.54296875" style="2" customWidth="1" outlineLevel="1"/>
    <col min="20" max="20" width="11.26953125" style="2"/>
    <col min="21" max="22" width="7.81640625" style="2" customWidth="1"/>
    <col min="23" max="16384" width="11.26953125" style="2"/>
  </cols>
  <sheetData>
    <row r="1" spans="1:16" ht="30" customHeight="1" x14ac:dyDescent="0.35">
      <c r="A1" s="658" t="s">
        <v>319</v>
      </c>
      <c r="B1" s="659"/>
      <c r="C1" s="659"/>
      <c r="D1" s="659"/>
      <c r="E1" s="659"/>
      <c r="F1" s="659"/>
      <c r="G1" s="659"/>
      <c r="H1" s="659"/>
      <c r="I1" s="660"/>
      <c r="K1"/>
    </row>
    <row r="2" spans="1:16" ht="14.5" x14ac:dyDescent="0.35">
      <c r="K2"/>
    </row>
    <row r="3" spans="1:16" ht="27.65" customHeight="1" x14ac:dyDescent="0.3">
      <c r="A3" s="653" t="s">
        <v>367</v>
      </c>
      <c r="B3" s="655" t="s">
        <v>0</v>
      </c>
      <c r="C3" s="516" t="s">
        <v>470</v>
      </c>
      <c r="D3" s="516" t="s">
        <v>414</v>
      </c>
      <c r="E3" s="516" t="s">
        <v>471</v>
      </c>
      <c r="F3" s="516" t="s">
        <v>472</v>
      </c>
      <c r="G3" s="541" t="s">
        <v>476</v>
      </c>
      <c r="H3" s="619" t="s">
        <v>256</v>
      </c>
      <c r="I3" s="618" t="s">
        <v>59</v>
      </c>
      <c r="K3" s="661" t="s">
        <v>324</v>
      </c>
    </row>
    <row r="4" spans="1:16" x14ac:dyDescent="0.3">
      <c r="A4" s="654"/>
      <c r="B4" s="656"/>
      <c r="C4" s="77">
        <v>12</v>
      </c>
      <c r="D4" s="77">
        <v>12</v>
      </c>
      <c r="E4" s="77">
        <v>12</v>
      </c>
      <c r="F4" s="77">
        <v>12</v>
      </c>
      <c r="G4" s="183">
        <v>12</v>
      </c>
      <c r="H4" s="78">
        <f t="shared" ref="H4:H10" si="0">IFERROR(AVERAGE(C4:G4),0)</f>
        <v>12</v>
      </c>
      <c r="I4" s="78">
        <f t="shared" ref="I4:I10" si="1">SUM(C4:G4)</f>
        <v>60</v>
      </c>
      <c r="K4" s="662"/>
    </row>
    <row r="5" spans="1:16" x14ac:dyDescent="0.3">
      <c r="A5" s="301" t="s">
        <v>347</v>
      </c>
      <c r="B5" s="8"/>
      <c r="C5" s="625"/>
      <c r="D5" s="517">
        <v>16295391.26731056</v>
      </c>
      <c r="E5" s="517">
        <v>16556374.804195371</v>
      </c>
      <c r="F5" s="517">
        <v>16726658.582372556</v>
      </c>
      <c r="G5" s="324">
        <v>16875732.629612926</v>
      </c>
      <c r="H5" s="10">
        <f t="shared" si="0"/>
        <v>16613539.320872854</v>
      </c>
      <c r="I5" s="10">
        <f t="shared" si="1"/>
        <v>66454157.283491418</v>
      </c>
      <c r="J5" s="11"/>
      <c r="K5" s="188"/>
      <c r="L5" s="11"/>
      <c r="M5" s="11"/>
      <c r="P5" s="11"/>
    </row>
    <row r="6" spans="1:16" x14ac:dyDescent="0.3">
      <c r="A6" s="36" t="s">
        <v>316</v>
      </c>
      <c r="B6" s="12"/>
      <c r="C6" s="488"/>
      <c r="D6" s="13">
        <v>85367.75598429871</v>
      </c>
      <c r="E6" s="13">
        <v>86734.987892218342</v>
      </c>
      <c r="F6" s="13">
        <v>87627.064908661385</v>
      </c>
      <c r="G6" s="159">
        <v>88408.029089247648</v>
      </c>
      <c r="H6" s="14">
        <f t="shared" si="0"/>
        <v>87034.459468606525</v>
      </c>
      <c r="I6" s="14">
        <f t="shared" si="1"/>
        <v>348137.8378744261</v>
      </c>
      <c r="J6" s="11"/>
      <c r="K6" s="189"/>
      <c r="L6" s="11"/>
      <c r="M6" s="11"/>
      <c r="P6" s="11"/>
    </row>
    <row r="7" spans="1:16" x14ac:dyDescent="0.3">
      <c r="A7" s="36" t="s">
        <v>448</v>
      </c>
      <c r="B7" s="12"/>
      <c r="C7" s="488"/>
      <c r="D7" s="13">
        <v>21341.938996074678</v>
      </c>
      <c r="E7" s="13">
        <v>21683.746973054585</v>
      </c>
      <c r="F7" s="13">
        <v>21906.766227165346</v>
      </c>
      <c r="G7" s="159">
        <v>22102.007272311912</v>
      </c>
      <c r="H7" s="14">
        <f t="shared" si="0"/>
        <v>21758.614867151631</v>
      </c>
      <c r="I7" s="14">
        <f t="shared" si="1"/>
        <v>87034.459468606525</v>
      </c>
      <c r="J7" s="11"/>
      <c r="K7" s="189"/>
      <c r="L7" s="11"/>
      <c r="M7" s="11"/>
      <c r="P7" s="11"/>
    </row>
    <row r="8" spans="1:16" x14ac:dyDescent="0.3">
      <c r="A8" s="36" t="s">
        <v>351</v>
      </c>
      <c r="B8" s="12"/>
      <c r="C8" s="488"/>
      <c r="D8" s="13">
        <v>14775.188535744008</v>
      </c>
      <c r="E8" s="13">
        <v>15011.824827499328</v>
      </c>
      <c r="F8" s="13">
        <v>15166.222772652933</v>
      </c>
      <c r="G8" s="159">
        <v>15301.389650062092</v>
      </c>
      <c r="H8" s="14">
        <f t="shared" si="0"/>
        <v>15063.656446489589</v>
      </c>
      <c r="I8" s="14">
        <f t="shared" si="1"/>
        <v>60254.625785958357</v>
      </c>
      <c r="J8" s="11"/>
      <c r="K8" s="189"/>
      <c r="L8" s="11"/>
      <c r="M8" s="11"/>
      <c r="P8" s="11"/>
    </row>
    <row r="9" spans="1:16" x14ac:dyDescent="0.3">
      <c r="A9" s="602" t="s">
        <v>496</v>
      </c>
      <c r="B9" s="603"/>
      <c r="C9" s="604"/>
      <c r="D9" s="626">
        <v>2568247.1569949663</v>
      </c>
      <c r="E9" s="626">
        <v>2589295.1044070399</v>
      </c>
      <c r="F9" s="626">
        <v>2596698.3850489496</v>
      </c>
      <c r="G9" s="606">
        <v>2600319.2921779263</v>
      </c>
      <c r="H9" s="14">
        <f t="shared" si="0"/>
        <v>2588639.9846572205</v>
      </c>
      <c r="I9" s="14">
        <f t="shared" si="1"/>
        <v>10354559.938628882</v>
      </c>
      <c r="J9" s="11"/>
      <c r="K9" s="189"/>
      <c r="L9" s="11"/>
      <c r="M9" s="11"/>
      <c r="P9" s="11"/>
    </row>
    <row r="10" spans="1:16" s="5" customFormat="1" x14ac:dyDescent="0.3">
      <c r="A10" s="96" t="s">
        <v>364</v>
      </c>
      <c r="B10" s="57" t="s">
        <v>322</v>
      </c>
      <c r="C10" s="479"/>
      <c r="D10" s="19">
        <f>SUM(D5:D9)</f>
        <v>18985123.307821643</v>
      </c>
      <c r="E10" s="19">
        <f t="shared" ref="E10:G10" si="2">SUM(E5:E9)</f>
        <v>19269100.468295183</v>
      </c>
      <c r="F10" s="19">
        <f t="shared" si="2"/>
        <v>19448057.021329988</v>
      </c>
      <c r="G10" s="35">
        <f t="shared" si="2"/>
        <v>19601863.347802471</v>
      </c>
      <c r="H10" s="20">
        <f t="shared" si="0"/>
        <v>19326036.036312323</v>
      </c>
      <c r="I10" s="20">
        <f t="shared" si="1"/>
        <v>77304144.145249292</v>
      </c>
      <c r="J10" s="6"/>
      <c r="K10" s="190"/>
    </row>
    <row r="11" spans="1:16" x14ac:dyDescent="0.3">
      <c r="C11" s="13"/>
      <c r="D11" s="13"/>
      <c r="E11" s="13"/>
      <c r="F11" s="13"/>
      <c r="G11" s="13"/>
      <c r="H11" s="13"/>
      <c r="I11" s="13"/>
    </row>
    <row r="12" spans="1:16" ht="27.65" customHeight="1" x14ac:dyDescent="0.3">
      <c r="A12" s="653" t="s">
        <v>197</v>
      </c>
      <c r="B12" s="655" t="s">
        <v>0</v>
      </c>
      <c r="C12" s="516" t="str">
        <f>Annee0</f>
        <v>Année 0</v>
      </c>
      <c r="D12" s="516" t="str">
        <f>Annee1</f>
        <v>Année 1</v>
      </c>
      <c r="E12" s="516" t="str">
        <f>Annee2</f>
        <v>Année 2</v>
      </c>
      <c r="F12" s="516" t="str">
        <f>Annee3</f>
        <v>Année 3</v>
      </c>
      <c r="G12" s="541" t="str">
        <f>Annee4</f>
        <v>Année 4</v>
      </c>
      <c r="H12" s="619" t="s">
        <v>256</v>
      </c>
      <c r="I12" s="618" t="s">
        <v>59</v>
      </c>
      <c r="K12" s="661" t="s">
        <v>324</v>
      </c>
    </row>
    <row r="13" spans="1:16" x14ac:dyDescent="0.3">
      <c r="A13" s="654"/>
      <c r="B13" s="656"/>
      <c r="C13" s="77">
        <v>12</v>
      </c>
      <c r="D13" s="77">
        <v>12</v>
      </c>
      <c r="E13" s="77">
        <v>12</v>
      </c>
      <c r="F13" s="77">
        <v>12</v>
      </c>
      <c r="G13" s="183">
        <v>12</v>
      </c>
      <c r="H13" s="78">
        <f>IFERROR(AVERAGE(C13:G13),0)</f>
        <v>12</v>
      </c>
      <c r="I13" s="78">
        <f>SUM(C13:G13)</f>
        <v>60</v>
      </c>
      <c r="K13" s="662"/>
    </row>
    <row r="14" spans="1:16" x14ac:dyDescent="0.3">
      <c r="A14" s="301" t="s">
        <v>62</v>
      </c>
      <c r="B14" s="8"/>
      <c r="C14" s="625"/>
      <c r="D14" s="517">
        <v>11132.5</v>
      </c>
      <c r="E14" s="517">
        <v>11873.5</v>
      </c>
      <c r="F14" s="517">
        <v>16318</v>
      </c>
      <c r="G14" s="324">
        <v>17340.5</v>
      </c>
      <c r="H14" s="10">
        <f>IFERROR(AVERAGE(C14:G14),0)</f>
        <v>14166.125</v>
      </c>
      <c r="I14" s="10">
        <f>SUM(C14:G14)</f>
        <v>56664.5</v>
      </c>
      <c r="J14" s="11"/>
      <c r="K14" s="188"/>
      <c r="L14" s="11"/>
      <c r="M14" s="11"/>
      <c r="P14" s="11"/>
    </row>
    <row r="15" spans="1:16" x14ac:dyDescent="0.3">
      <c r="A15" s="36" t="s">
        <v>318</v>
      </c>
      <c r="B15" s="12"/>
      <c r="C15" s="488"/>
      <c r="D15" s="13">
        <v>95000</v>
      </c>
      <c r="E15" s="13">
        <v>95000</v>
      </c>
      <c r="F15" s="13">
        <v>95000</v>
      </c>
      <c r="G15" s="159">
        <v>95000</v>
      </c>
      <c r="H15" s="14">
        <f>IFERROR(AVERAGE(C15:G15),0)</f>
        <v>95000</v>
      </c>
      <c r="I15" s="14">
        <f>SUM(C15:G15)</f>
        <v>380000</v>
      </c>
      <c r="J15" s="11"/>
      <c r="K15" s="189"/>
      <c r="L15" s="11"/>
      <c r="M15" s="11"/>
      <c r="P15" s="11"/>
    </row>
    <row r="16" spans="1:16" x14ac:dyDescent="0.3">
      <c r="A16" s="59" t="s">
        <v>63</v>
      </c>
      <c r="B16" s="15"/>
      <c r="C16" s="513"/>
      <c r="D16" s="106">
        <v>0</v>
      </c>
      <c r="E16" s="106">
        <v>0</v>
      </c>
      <c r="F16" s="106">
        <v>0</v>
      </c>
      <c r="G16" s="185">
        <v>0</v>
      </c>
      <c r="H16" s="16">
        <f>IFERROR(AVERAGE(C16:G16),0)</f>
        <v>0</v>
      </c>
      <c r="I16" s="16">
        <f>SUM(C16:G16)</f>
        <v>0</v>
      </c>
      <c r="J16" s="11"/>
      <c r="K16" s="189"/>
      <c r="L16" s="11"/>
      <c r="M16" s="11"/>
      <c r="P16" s="11"/>
    </row>
    <row r="17" spans="1:22" s="5" customFormat="1" x14ac:dyDescent="0.3">
      <c r="A17" s="96" t="s">
        <v>203</v>
      </c>
      <c r="B17" s="57" t="s">
        <v>322</v>
      </c>
      <c r="C17" s="479"/>
      <c r="D17" s="19">
        <f t="shared" ref="D17:G17" si="3">SUM(D14:D16)</f>
        <v>106132.5</v>
      </c>
      <c r="E17" s="19">
        <f t="shared" si="3"/>
        <v>106873.5</v>
      </c>
      <c r="F17" s="19">
        <f t="shared" si="3"/>
        <v>111318</v>
      </c>
      <c r="G17" s="35">
        <f t="shared" si="3"/>
        <v>112340.5</v>
      </c>
      <c r="H17" s="20">
        <f>IFERROR(AVERAGE(C17:G17),0)</f>
        <v>109166.125</v>
      </c>
      <c r="I17" s="20">
        <f>SUM(C17:G17)</f>
        <v>436664.5</v>
      </c>
      <c r="J17" s="6"/>
      <c r="K17" s="190"/>
    </row>
    <row r="18" spans="1:22" ht="14.5" x14ac:dyDescent="0.35">
      <c r="C18" s="13"/>
      <c r="D18" s="13"/>
      <c r="E18" s="13"/>
      <c r="F18" s="13"/>
      <c r="G18" s="13"/>
      <c r="H18" s="13"/>
      <c r="I18" s="13"/>
      <c r="K18"/>
    </row>
    <row r="19" spans="1:22" ht="27.65" customHeight="1" x14ac:dyDescent="0.3">
      <c r="A19" s="653" t="s">
        <v>194</v>
      </c>
      <c r="B19" s="655" t="s">
        <v>0</v>
      </c>
      <c r="C19" s="516" t="str">
        <f>Annee0</f>
        <v>Année 0</v>
      </c>
      <c r="D19" s="516" t="str">
        <f>Annee1</f>
        <v>Année 1</v>
      </c>
      <c r="E19" s="516" t="str">
        <f>Annee2</f>
        <v>Année 2</v>
      </c>
      <c r="F19" s="516" t="str">
        <f>Annee3</f>
        <v>Année 3</v>
      </c>
      <c r="G19" s="541" t="str">
        <f>Annee4</f>
        <v>Année 4</v>
      </c>
      <c r="H19" s="619" t="s">
        <v>256</v>
      </c>
      <c r="I19" s="618" t="s">
        <v>59</v>
      </c>
      <c r="K19" s="663" t="s">
        <v>324</v>
      </c>
      <c r="N19" s="11"/>
      <c r="O19" s="11"/>
      <c r="P19" s="11"/>
      <c r="Q19" s="11"/>
      <c r="R19" s="11"/>
      <c r="S19" s="11"/>
    </row>
    <row r="20" spans="1:22" x14ac:dyDescent="0.3">
      <c r="A20" s="654"/>
      <c r="B20" s="656"/>
      <c r="C20" s="77">
        <v>12</v>
      </c>
      <c r="D20" s="77">
        <v>12</v>
      </c>
      <c r="E20" s="77">
        <v>12</v>
      </c>
      <c r="F20" s="77">
        <v>12</v>
      </c>
      <c r="G20" s="183">
        <v>12</v>
      </c>
      <c r="H20" s="78">
        <f t="shared" ref="H20:H36" si="4">IFERROR(AVERAGE(C20:G20),0)</f>
        <v>12</v>
      </c>
      <c r="I20" s="78">
        <f t="shared" ref="I20:I39" si="5">SUM(C20:G20)</f>
        <v>60</v>
      </c>
      <c r="K20" s="663"/>
    </row>
    <row r="21" spans="1:22" s="5" customFormat="1" x14ac:dyDescent="0.3">
      <c r="A21" s="302" t="s">
        <v>193</v>
      </c>
      <c r="B21" s="151" t="s">
        <v>164</v>
      </c>
      <c r="C21" s="511"/>
      <c r="D21" s="110">
        <f t="shared" ref="D21:G21" si="6">SUM(D22:D24)</f>
        <v>29559138.35055612</v>
      </c>
      <c r="E21" s="110">
        <f t="shared" si="6"/>
        <v>30110253.303223431</v>
      </c>
      <c r="F21" s="110">
        <f t="shared" si="6"/>
        <v>29809597.791360587</v>
      </c>
      <c r="G21" s="186">
        <f t="shared" si="6"/>
        <v>30695538.345761258</v>
      </c>
      <c r="H21" s="24">
        <f t="shared" si="4"/>
        <v>30043631.947725348</v>
      </c>
      <c r="I21" s="24">
        <f t="shared" si="5"/>
        <v>120174527.79090139</v>
      </c>
      <c r="K21" s="189"/>
      <c r="L21" s="6"/>
      <c r="M21" s="570"/>
      <c r="N21" s="6"/>
      <c r="O21" s="6"/>
      <c r="P21" s="6"/>
      <c r="Q21" s="6"/>
      <c r="R21" s="6"/>
      <c r="S21" s="6"/>
      <c r="U21" s="2"/>
      <c r="V21" s="2"/>
    </row>
    <row r="22" spans="1:22" x14ac:dyDescent="0.3">
      <c r="A22" s="36" t="s">
        <v>1</v>
      </c>
      <c r="B22" s="12"/>
      <c r="C22" s="488"/>
      <c r="D22" s="13">
        <v>8846812.9130966086</v>
      </c>
      <c r="E22" s="13">
        <v>9276372.7985978387</v>
      </c>
      <c r="F22" s="13">
        <v>8818979.9560259264</v>
      </c>
      <c r="G22" s="159">
        <v>9518185.4882731885</v>
      </c>
      <c r="H22" s="14">
        <f t="shared" si="4"/>
        <v>9115087.7889983915</v>
      </c>
      <c r="I22" s="14">
        <f t="shared" si="5"/>
        <v>36460351.155993566</v>
      </c>
      <c r="K22" s="188" t="s">
        <v>305</v>
      </c>
      <c r="N22" s="31"/>
      <c r="O22" s="31"/>
      <c r="P22" s="31"/>
      <c r="Q22" s="31"/>
      <c r="R22" s="31"/>
      <c r="S22" s="31"/>
    </row>
    <row r="23" spans="1:22" x14ac:dyDescent="0.3">
      <c r="A23" s="36" t="s">
        <v>385</v>
      </c>
      <c r="B23" s="12"/>
      <c r="C23" s="488"/>
      <c r="D23" s="13">
        <v>20462140.467459515</v>
      </c>
      <c r="E23" s="13">
        <v>20583295.534625594</v>
      </c>
      <c r="F23" s="13">
        <v>20736653.865334664</v>
      </c>
      <c r="G23" s="159">
        <v>20924463.887488071</v>
      </c>
      <c r="H23" s="14">
        <f t="shared" si="4"/>
        <v>20676638.438726958</v>
      </c>
      <c r="I23" s="14">
        <f t="shared" si="5"/>
        <v>82706553.754907832</v>
      </c>
      <c r="K23" s="189" t="s">
        <v>294</v>
      </c>
      <c r="N23" s="31"/>
      <c r="O23" s="31"/>
      <c r="P23" s="31"/>
      <c r="Q23" s="31"/>
      <c r="R23" s="31"/>
      <c r="S23" s="31"/>
    </row>
    <row r="24" spans="1:22" x14ac:dyDescent="0.3">
      <c r="A24" s="36" t="s">
        <v>2</v>
      </c>
      <c r="B24" s="12"/>
      <c r="C24" s="488"/>
      <c r="D24" s="13">
        <v>250184.97</v>
      </c>
      <c r="E24" s="13">
        <v>250584.97</v>
      </c>
      <c r="F24" s="13">
        <v>253963.97</v>
      </c>
      <c r="G24" s="159">
        <v>252888.97</v>
      </c>
      <c r="H24" s="14">
        <f t="shared" si="4"/>
        <v>251905.72</v>
      </c>
      <c r="I24" s="14">
        <f t="shared" si="5"/>
        <v>1007622.88</v>
      </c>
      <c r="K24" s="189" t="s">
        <v>295</v>
      </c>
      <c r="N24" s="31"/>
      <c r="O24" s="31"/>
      <c r="P24" s="31"/>
      <c r="Q24" s="31"/>
      <c r="R24" s="31"/>
      <c r="S24" s="31"/>
    </row>
    <row r="25" spans="1:22" s="5" customFormat="1" x14ac:dyDescent="0.3">
      <c r="A25" s="302" t="s">
        <v>195</v>
      </c>
      <c r="B25" s="151" t="s">
        <v>81</v>
      </c>
      <c r="C25" s="23">
        <f>C34</f>
        <v>250000</v>
      </c>
      <c r="D25" s="23">
        <f t="shared" ref="D25:G25" si="7">SUM(D26:D35)</f>
        <v>21433406.544169012</v>
      </c>
      <c r="E25" s="23">
        <f t="shared" si="7"/>
        <v>21359855.678940047</v>
      </c>
      <c r="F25" s="23">
        <f t="shared" si="7"/>
        <v>21435316.865932737</v>
      </c>
      <c r="G25" s="179">
        <f t="shared" si="7"/>
        <v>21326312.552523166</v>
      </c>
      <c r="H25" s="24">
        <f t="shared" si="4"/>
        <v>17160978.328312993</v>
      </c>
      <c r="I25" s="24">
        <f t="shared" si="5"/>
        <v>85804891.641564965</v>
      </c>
      <c r="K25" s="190"/>
      <c r="L25" s="6"/>
      <c r="M25" s="570"/>
      <c r="N25" s="6"/>
      <c r="O25" s="6"/>
      <c r="P25" s="6"/>
      <c r="Q25" s="6"/>
      <c r="R25" s="6"/>
      <c r="S25" s="6"/>
    </row>
    <row r="26" spans="1:22" x14ac:dyDescent="0.3">
      <c r="A26" s="36" t="s">
        <v>3</v>
      </c>
      <c r="B26" s="152"/>
      <c r="C26" s="488"/>
      <c r="D26" s="13">
        <v>2168252.75</v>
      </c>
      <c r="E26" s="13">
        <v>2079752.75</v>
      </c>
      <c r="F26" s="13">
        <v>2133252.75</v>
      </c>
      <c r="G26" s="159">
        <v>2063752.75</v>
      </c>
      <c r="H26" s="14">
        <f t="shared" si="4"/>
        <v>2111252.75</v>
      </c>
      <c r="I26" s="14">
        <f t="shared" si="5"/>
        <v>8445011</v>
      </c>
      <c r="K26" s="189" t="s">
        <v>303</v>
      </c>
      <c r="N26" s="31"/>
      <c r="O26" s="31"/>
      <c r="P26" s="31"/>
      <c r="Q26" s="31"/>
      <c r="R26" s="31"/>
      <c r="S26" s="31"/>
      <c r="T26" s="31"/>
    </row>
    <row r="27" spans="1:22" x14ac:dyDescent="0.3">
      <c r="A27" s="36" t="s">
        <v>275</v>
      </c>
      <c r="B27" s="12"/>
      <c r="C27" s="488"/>
      <c r="D27" s="13">
        <v>771468.80000000005</v>
      </c>
      <c r="E27" s="13">
        <v>771468.80000000005</v>
      </c>
      <c r="F27" s="13">
        <v>771468.80000000005</v>
      </c>
      <c r="G27" s="159">
        <v>771468.80000000005</v>
      </c>
      <c r="H27" s="14">
        <f t="shared" si="4"/>
        <v>771468.80000000005</v>
      </c>
      <c r="I27" s="14">
        <f t="shared" si="5"/>
        <v>3085875.2000000002</v>
      </c>
      <c r="K27" s="189" t="s">
        <v>303</v>
      </c>
      <c r="N27" s="31"/>
      <c r="O27" s="31"/>
      <c r="P27" s="31"/>
      <c r="Q27" s="31"/>
      <c r="R27" s="31"/>
      <c r="S27" s="31"/>
    </row>
    <row r="28" spans="1:22" x14ac:dyDescent="0.3">
      <c r="A28" s="36" t="s">
        <v>162</v>
      </c>
      <c r="B28" s="12"/>
      <c r="C28" s="488"/>
      <c r="D28" s="13">
        <v>9559075.400456531</v>
      </c>
      <c r="E28" s="13">
        <v>9515588.5580021981</v>
      </c>
      <c r="F28" s="13">
        <v>9533305.7537394073</v>
      </c>
      <c r="G28" s="159">
        <v>9553965.6430494152</v>
      </c>
      <c r="H28" s="14">
        <f t="shared" si="4"/>
        <v>9540483.8388118893</v>
      </c>
      <c r="I28" s="14">
        <f t="shared" si="5"/>
        <v>38161935.355247557</v>
      </c>
      <c r="K28" s="189" t="s">
        <v>304</v>
      </c>
      <c r="M28" s="571"/>
      <c r="N28" s="572"/>
      <c r="O28" s="572"/>
      <c r="P28" s="572"/>
      <c r="Q28" s="572"/>
      <c r="R28" s="572"/>
      <c r="S28" s="572"/>
      <c r="T28" s="571"/>
    </row>
    <row r="29" spans="1:22" x14ac:dyDescent="0.3">
      <c r="A29" s="36" t="s">
        <v>4</v>
      </c>
      <c r="B29" s="12"/>
      <c r="C29" s="488"/>
      <c r="D29" s="13">
        <v>1885690.7628598125</v>
      </c>
      <c r="E29" s="13">
        <v>1904170.5231251237</v>
      </c>
      <c r="F29" s="13">
        <v>1911090.169542918</v>
      </c>
      <c r="G29" s="159">
        <v>1935370.4142166995</v>
      </c>
      <c r="H29" s="14">
        <f t="shared" si="4"/>
        <v>1909080.4674361385</v>
      </c>
      <c r="I29" s="14">
        <f t="shared" si="5"/>
        <v>7636321.8697445542</v>
      </c>
      <c r="K29" s="189" t="s">
        <v>304</v>
      </c>
      <c r="N29" s="31"/>
      <c r="O29" s="31"/>
      <c r="P29" s="31"/>
      <c r="Q29" s="31"/>
      <c r="R29" s="31"/>
      <c r="S29" s="31"/>
    </row>
    <row r="30" spans="1:22" x14ac:dyDescent="0.3">
      <c r="A30" s="36" t="s">
        <v>5</v>
      </c>
      <c r="B30" s="12"/>
      <c r="C30" s="488"/>
      <c r="D30" s="13">
        <v>717741.75906585727</v>
      </c>
      <c r="E30" s="13">
        <v>724811.95612978749</v>
      </c>
      <c r="F30" s="13">
        <v>731245.28779322712</v>
      </c>
      <c r="G30" s="159">
        <v>741305.05589073175</v>
      </c>
      <c r="H30" s="14">
        <f t="shared" si="4"/>
        <v>728776.01471990091</v>
      </c>
      <c r="I30" s="14">
        <f t="shared" si="5"/>
        <v>2915104.0588796036</v>
      </c>
      <c r="K30" s="189" t="s">
        <v>303</v>
      </c>
      <c r="N30" s="31"/>
      <c r="O30" s="31"/>
      <c r="P30" s="31"/>
      <c r="Q30" s="31"/>
      <c r="R30" s="31"/>
      <c r="S30" s="31"/>
    </row>
    <row r="31" spans="1:22" ht="12.25" customHeight="1" x14ac:dyDescent="0.3">
      <c r="A31" s="36" t="s">
        <v>172</v>
      </c>
      <c r="B31" s="12"/>
      <c r="C31" s="488"/>
      <c r="D31" s="13">
        <v>336113.44444444444</v>
      </c>
      <c r="E31" s="13">
        <v>375713.44444444444</v>
      </c>
      <c r="F31" s="13">
        <v>399313.44444444444</v>
      </c>
      <c r="G31" s="159">
        <v>250413.84444444443</v>
      </c>
      <c r="H31" s="14">
        <f t="shared" si="4"/>
        <v>340388.54444444441</v>
      </c>
      <c r="I31" s="14">
        <f t="shared" si="5"/>
        <v>1361554.1777777777</v>
      </c>
      <c r="K31" s="189" t="s">
        <v>302</v>
      </c>
      <c r="N31" s="31"/>
      <c r="O31" s="31"/>
      <c r="P31" s="31"/>
      <c r="Q31" s="31"/>
      <c r="R31" s="31"/>
      <c r="S31" s="31"/>
    </row>
    <row r="32" spans="1:22" ht="12.25" customHeight="1" x14ac:dyDescent="0.3">
      <c r="A32" s="36" t="s">
        <v>178</v>
      </c>
      <c r="B32" s="12"/>
      <c r="C32" s="488"/>
      <c r="D32" s="13">
        <v>370000</v>
      </c>
      <c r="E32" s="13">
        <v>370000</v>
      </c>
      <c r="F32" s="13">
        <v>370000</v>
      </c>
      <c r="G32" s="159">
        <v>370000</v>
      </c>
      <c r="H32" s="14">
        <f t="shared" si="4"/>
        <v>370000</v>
      </c>
      <c r="I32" s="14">
        <f t="shared" si="5"/>
        <v>1480000</v>
      </c>
      <c r="K32" s="189"/>
      <c r="N32" s="31"/>
      <c r="O32" s="31"/>
      <c r="P32" s="31"/>
      <c r="Q32" s="31"/>
      <c r="R32" s="31"/>
      <c r="S32" s="31"/>
    </row>
    <row r="33" spans="1:22" x14ac:dyDescent="0.3">
      <c r="A33" s="36" t="s">
        <v>6</v>
      </c>
      <c r="B33" s="12"/>
      <c r="C33" s="488"/>
      <c r="D33" s="13">
        <v>3687160.4489324689</v>
      </c>
      <c r="E33" s="13">
        <v>3662900.4737544889</v>
      </c>
      <c r="F33" s="13">
        <v>3613432.1979843443</v>
      </c>
      <c r="G33" s="159">
        <v>3642645.414759872</v>
      </c>
      <c r="H33" s="14">
        <f t="shared" si="4"/>
        <v>3651534.6338577936</v>
      </c>
      <c r="I33" s="14">
        <f t="shared" si="5"/>
        <v>14606138.535431175</v>
      </c>
      <c r="K33" s="189" t="s">
        <v>301</v>
      </c>
      <c r="M33" s="571"/>
      <c r="N33" s="11"/>
      <c r="O33" s="11"/>
      <c r="P33" s="11"/>
      <c r="Q33" s="11"/>
      <c r="R33" s="11"/>
      <c r="S33" s="11"/>
    </row>
    <row r="34" spans="1:22" x14ac:dyDescent="0.3">
      <c r="A34" s="36" t="s">
        <v>443</v>
      </c>
      <c r="B34" s="12"/>
      <c r="C34" s="13">
        <v>250000</v>
      </c>
      <c r="D34" s="13">
        <v>0</v>
      </c>
      <c r="E34" s="13">
        <v>0</v>
      </c>
      <c r="F34" s="13">
        <v>0</v>
      </c>
      <c r="G34" s="159">
        <v>0</v>
      </c>
      <c r="H34" s="14">
        <f t="shared" si="4"/>
        <v>50000</v>
      </c>
      <c r="I34" s="14">
        <f t="shared" si="5"/>
        <v>250000</v>
      </c>
      <c r="K34" s="189"/>
      <c r="S34" s="11"/>
    </row>
    <row r="35" spans="1:22" x14ac:dyDescent="0.3">
      <c r="A35" s="36" t="s">
        <v>192</v>
      </c>
      <c r="B35" s="12"/>
      <c r="C35" s="488"/>
      <c r="D35" s="13">
        <v>1937903.1784098989</v>
      </c>
      <c r="E35" s="13">
        <v>1955449.1734840057</v>
      </c>
      <c r="F35" s="13">
        <v>1972208.4624283994</v>
      </c>
      <c r="G35" s="159">
        <v>1997390.6301620037</v>
      </c>
      <c r="H35" s="14">
        <f t="shared" si="4"/>
        <v>1965737.8611210769</v>
      </c>
      <c r="I35" s="14">
        <f t="shared" si="5"/>
        <v>7862951.4444843074</v>
      </c>
      <c r="K35" s="189"/>
      <c r="N35" s="11"/>
      <c r="O35" s="31"/>
      <c r="P35" s="31"/>
      <c r="Q35" s="31"/>
      <c r="R35" s="31"/>
      <c r="T35" s="5"/>
      <c r="U35" s="5"/>
      <c r="V35" s="5"/>
    </row>
    <row r="36" spans="1:22" s="5" customFormat="1" x14ac:dyDescent="0.3">
      <c r="A36" s="302" t="s">
        <v>196</v>
      </c>
      <c r="B36" s="151" t="s">
        <v>82</v>
      </c>
      <c r="C36" s="510"/>
      <c r="D36" s="23">
        <f t="shared" ref="D36:E36" si="8">SUM(D37:D38)</f>
        <v>32893899.732938208</v>
      </c>
      <c r="E36" s="23">
        <f t="shared" si="8"/>
        <v>33016429.177985758</v>
      </c>
      <c r="F36" s="23">
        <f>SUM(F37:F38)</f>
        <v>33615088.733055599</v>
      </c>
      <c r="G36" s="179">
        <f t="shared" ref="G36" si="9">SUM(G37:G38)</f>
        <v>33644553.307175949</v>
      </c>
      <c r="H36" s="24">
        <f t="shared" si="4"/>
        <v>33292492.737788878</v>
      </c>
      <c r="I36" s="24">
        <f t="shared" si="5"/>
        <v>133169970.95115551</v>
      </c>
      <c r="K36" s="190" t="s">
        <v>306</v>
      </c>
      <c r="L36" s="6"/>
      <c r="M36" s="570"/>
      <c r="N36" s="573"/>
      <c r="O36" s="573"/>
      <c r="P36" s="573"/>
      <c r="Q36" s="573"/>
      <c r="R36" s="573"/>
      <c r="S36" s="573"/>
      <c r="T36" s="2"/>
      <c r="U36" s="2"/>
      <c r="V36" s="2"/>
    </row>
    <row r="37" spans="1:22" x14ac:dyDescent="0.3">
      <c r="A37" s="36" t="s">
        <v>384</v>
      </c>
      <c r="B37" s="12"/>
      <c r="C37" s="488"/>
      <c r="D37" s="13">
        <v>21470102.763857588</v>
      </c>
      <c r="E37" s="13">
        <v>21470102.763857588</v>
      </c>
      <c r="F37" s="13">
        <v>21470102.763857588</v>
      </c>
      <c r="G37" s="159">
        <v>21470102.763857588</v>
      </c>
      <c r="H37" s="14">
        <f>IFERROR(AVERAGE(C37:G37),0)</f>
        <v>21470102.763857588</v>
      </c>
      <c r="I37" s="14">
        <f t="shared" si="5"/>
        <v>85880411.055430353</v>
      </c>
      <c r="K37" s="188"/>
      <c r="N37" s="31"/>
      <c r="O37" s="31"/>
      <c r="P37" s="31"/>
      <c r="Q37" s="31"/>
      <c r="R37" s="31"/>
      <c r="S37" s="31"/>
    </row>
    <row r="38" spans="1:22" x14ac:dyDescent="0.3">
      <c r="A38" s="36" t="s">
        <v>386</v>
      </c>
      <c r="B38" s="12"/>
      <c r="C38" s="488"/>
      <c r="D38" s="13">
        <v>11423796.96908062</v>
      </c>
      <c r="E38" s="13">
        <v>11546326.414128169</v>
      </c>
      <c r="F38" s="13">
        <v>12144985.969198011</v>
      </c>
      <c r="G38" s="159">
        <v>12174450.543318365</v>
      </c>
      <c r="H38" s="14">
        <f>IFERROR(AVERAGE(C38:G38),0)</f>
        <v>11822389.97393129</v>
      </c>
      <c r="I38" s="14">
        <f t="shared" si="5"/>
        <v>47289559.895725161</v>
      </c>
      <c r="K38" s="189"/>
      <c r="M38" s="180"/>
      <c r="N38" s="573"/>
      <c r="S38" s="573"/>
      <c r="T38" s="5"/>
      <c r="U38" s="5"/>
      <c r="V38" s="5"/>
    </row>
    <row r="39" spans="1:22" s="5" customFormat="1" x14ac:dyDescent="0.3">
      <c r="A39" s="96" t="s">
        <v>204</v>
      </c>
      <c r="B39" s="57"/>
      <c r="C39" s="19">
        <f>C25</f>
        <v>250000</v>
      </c>
      <c r="D39" s="19">
        <f t="shared" ref="D39:G39" si="10">D21+D25+D36</f>
        <v>83886444.627663344</v>
      </c>
      <c r="E39" s="19">
        <f t="shared" si="10"/>
        <v>84486538.160149232</v>
      </c>
      <c r="F39" s="19">
        <f t="shared" si="10"/>
        <v>84860003.390348911</v>
      </c>
      <c r="G39" s="35">
        <f t="shared" si="10"/>
        <v>85666404.20546037</v>
      </c>
      <c r="H39" s="20">
        <f>IFERROR(AVERAGE(C39:G39),0)</f>
        <v>67829878.07672438</v>
      </c>
      <c r="I39" s="35">
        <f t="shared" si="5"/>
        <v>339149390.38362187</v>
      </c>
      <c r="J39" s="6"/>
      <c r="K39" s="190"/>
      <c r="L39" s="180"/>
      <c r="M39" s="2"/>
      <c r="N39" s="2"/>
      <c r="O39" s="573"/>
      <c r="P39" s="573"/>
      <c r="Q39" s="573"/>
      <c r="R39" s="573"/>
      <c r="S39" s="2"/>
      <c r="T39" s="2"/>
      <c r="U39" s="2"/>
      <c r="V39" s="2"/>
    </row>
    <row r="40" spans="1:22" x14ac:dyDescent="0.3">
      <c r="B40" s="2"/>
      <c r="C40" s="11"/>
      <c r="D40" s="11"/>
      <c r="E40" s="11"/>
      <c r="F40" s="11"/>
      <c r="G40" s="11"/>
      <c r="H40" s="588"/>
      <c r="I40" s="632"/>
      <c r="K40" s="11"/>
      <c r="N40" s="11"/>
      <c r="O40" s="11"/>
      <c r="P40" s="11"/>
      <c r="Q40" s="11"/>
      <c r="R40" s="11"/>
      <c r="S40" s="11"/>
    </row>
    <row r="41" spans="1:22" x14ac:dyDescent="0.3">
      <c r="A41" s="303" t="s">
        <v>198</v>
      </c>
      <c r="B41" s="112"/>
      <c r="C41" s="238">
        <f t="shared" ref="C41:I41" si="11">IFERROR(C35/C39,"-")</f>
        <v>0</v>
      </c>
      <c r="D41" s="238">
        <f t="shared" si="11"/>
        <v>2.310150569631883E-2</v>
      </c>
      <c r="E41" s="238">
        <f t="shared" si="11"/>
        <v>2.3145097622266592E-2</v>
      </c>
      <c r="F41" s="238">
        <f t="shared" si="11"/>
        <v>2.3240730422274501E-2</v>
      </c>
      <c r="G41" s="239">
        <f t="shared" si="11"/>
        <v>2.3315915365975992E-2</v>
      </c>
      <c r="H41" s="241">
        <f>IFERROR(H35/H39,"-")</f>
        <v>2.8980412715729383E-2</v>
      </c>
      <c r="I41" s="241">
        <f t="shared" si="11"/>
        <v>2.3184330172583506E-2</v>
      </c>
      <c r="J41" s="11"/>
      <c r="K41" s="616"/>
      <c r="N41" s="11"/>
      <c r="O41" s="11"/>
      <c r="P41" s="11"/>
      <c r="Q41" s="11"/>
      <c r="R41" s="11"/>
      <c r="S41" s="11"/>
    </row>
    <row r="42" spans="1:22" x14ac:dyDescent="0.3">
      <c r="D42" s="13"/>
      <c r="E42" s="13"/>
      <c r="F42" s="13"/>
      <c r="G42" s="13"/>
      <c r="H42" s="13"/>
      <c r="K42" s="11"/>
      <c r="N42" s="11"/>
    </row>
    <row r="43" spans="1:22" ht="27.65" customHeight="1" x14ac:dyDescent="0.3">
      <c r="A43" s="653" t="s">
        <v>388</v>
      </c>
      <c r="B43" s="655" t="s">
        <v>0</v>
      </c>
      <c r="C43" s="516" t="str">
        <f>Annee0</f>
        <v>Année 0</v>
      </c>
      <c r="D43" s="516" t="str">
        <f>Annee1</f>
        <v>Année 1</v>
      </c>
      <c r="E43" s="516" t="str">
        <f>Annee2</f>
        <v>Année 2</v>
      </c>
      <c r="F43" s="516" t="str">
        <f>Annee3</f>
        <v>Année 3</v>
      </c>
      <c r="G43" s="541" t="str">
        <f>Annee4</f>
        <v>Année 4</v>
      </c>
      <c r="H43" s="619" t="s">
        <v>256</v>
      </c>
      <c r="I43" s="618" t="s">
        <v>59</v>
      </c>
    </row>
    <row r="44" spans="1:22" x14ac:dyDescent="0.3">
      <c r="A44" s="654"/>
      <c r="B44" s="656"/>
      <c r="C44" s="77">
        <v>12</v>
      </c>
      <c r="D44" s="77">
        <v>12</v>
      </c>
      <c r="E44" s="77">
        <v>12</v>
      </c>
      <c r="F44" s="77">
        <v>12</v>
      </c>
      <c r="G44" s="183">
        <v>12</v>
      </c>
      <c r="H44" s="78">
        <f t="shared" ref="H44:H57" si="12">IFERROR(AVERAGE(C44:G44),0)</f>
        <v>12</v>
      </c>
      <c r="I44" s="78">
        <f t="shared" ref="I44:I57" si="13">SUM(C44:G44)</f>
        <v>60</v>
      </c>
      <c r="M44" s="11"/>
      <c r="N44" s="11"/>
      <c r="O44" s="11"/>
      <c r="P44" s="11"/>
      <c r="Q44" s="11"/>
      <c r="R44" s="11"/>
      <c r="S44" s="11"/>
      <c r="U44" s="574"/>
      <c r="V44" s="575"/>
    </row>
    <row r="45" spans="1:22" x14ac:dyDescent="0.3">
      <c r="A45" s="301" t="s">
        <v>389</v>
      </c>
      <c r="B45" s="8"/>
      <c r="C45" s="627"/>
      <c r="D45" s="518">
        <f t="shared" ref="D45:G45" si="14">IFERROR(D14/(D39-D35),"-")</f>
        <v>1.3584744527629929E-4</v>
      </c>
      <c r="E45" s="518">
        <f t="shared" si="14"/>
        <v>1.4386699782815702E-4</v>
      </c>
      <c r="F45" s="518">
        <f t="shared" si="14"/>
        <v>1.9686854999810508E-4</v>
      </c>
      <c r="G45" s="448">
        <f t="shared" si="14"/>
        <v>2.0725115857131896E-4</v>
      </c>
      <c r="H45" s="449">
        <f t="shared" si="12"/>
        <v>1.7095853791847007E-4</v>
      </c>
      <c r="I45" s="449">
        <f t="shared" si="13"/>
        <v>6.838341516738803E-4</v>
      </c>
      <c r="J45" s="11"/>
      <c r="L45" s="11"/>
      <c r="M45" s="11"/>
      <c r="N45" s="11"/>
      <c r="O45" s="11"/>
      <c r="P45" s="11"/>
      <c r="Q45" s="11"/>
      <c r="R45" s="11"/>
      <c r="S45" s="11"/>
      <c r="U45" s="574"/>
      <c r="V45" s="575"/>
    </row>
    <row r="46" spans="1:22" x14ac:dyDescent="0.3">
      <c r="A46" s="36" t="s">
        <v>390</v>
      </c>
      <c r="B46" s="12"/>
      <c r="C46" s="508"/>
      <c r="D46" s="450">
        <f t="shared" ref="D46:G46" si="15">IFERROR(D14/D10,"-")</f>
        <v>5.8638017881156154E-4</v>
      </c>
      <c r="E46" s="450">
        <f t="shared" si="15"/>
        <v>6.1619378753752989E-4</v>
      </c>
      <c r="F46" s="450">
        <f t="shared" si="15"/>
        <v>8.3905554072074943E-4</v>
      </c>
      <c r="G46" s="385">
        <f t="shared" si="15"/>
        <v>8.8463528657054999E-4</v>
      </c>
      <c r="H46" s="451">
        <f t="shared" si="12"/>
        <v>7.3156619841009771E-4</v>
      </c>
      <c r="I46" s="451">
        <f t="shared" si="13"/>
        <v>2.9262647936403909E-3</v>
      </c>
      <c r="J46" s="11"/>
      <c r="L46" s="11"/>
      <c r="M46" s="11"/>
      <c r="N46" s="11"/>
      <c r="O46" s="11"/>
      <c r="P46" s="11"/>
      <c r="Q46" s="11"/>
      <c r="R46" s="11"/>
      <c r="S46" s="11"/>
      <c r="U46" s="574"/>
      <c r="V46" s="575"/>
    </row>
    <row r="47" spans="1:22" x14ac:dyDescent="0.3">
      <c r="A47" s="36" t="s">
        <v>392</v>
      </c>
      <c r="B47" s="12"/>
      <c r="C47" s="508"/>
      <c r="D47" s="450">
        <f t="shared" ref="D47:G47" si="16">IFERROR((D39-D35)/D10,"-")</f>
        <v>4.3164608478203368</v>
      </c>
      <c r="E47" s="450">
        <f t="shared" si="16"/>
        <v>4.2830794889704098</v>
      </c>
      <c r="F47" s="450">
        <f t="shared" si="16"/>
        <v>4.262009044760199</v>
      </c>
      <c r="G47" s="385">
        <f t="shared" si="16"/>
        <v>4.268421429673845</v>
      </c>
      <c r="H47" s="451">
        <f t="shared" si="12"/>
        <v>4.2824927028061968</v>
      </c>
      <c r="I47" s="451">
        <f t="shared" si="13"/>
        <v>17.129970811224787</v>
      </c>
      <c r="J47" s="11"/>
      <c r="L47" s="11"/>
      <c r="M47" s="11"/>
      <c r="N47" s="11"/>
      <c r="O47" s="11"/>
      <c r="P47" s="11"/>
      <c r="Q47" s="11"/>
      <c r="R47" s="11"/>
      <c r="S47" s="11"/>
      <c r="U47" s="574"/>
      <c r="V47" s="575"/>
    </row>
    <row r="48" spans="1:22" x14ac:dyDescent="0.3">
      <c r="A48" s="36" t="s">
        <v>461</v>
      </c>
      <c r="B48" s="12"/>
      <c r="C48" s="508"/>
      <c r="D48" s="450">
        <v>7.1806924725326636E-4</v>
      </c>
      <c r="E48" s="450">
        <v>7.6586527799341183E-4</v>
      </c>
      <c r="F48" s="450">
        <v>1.0525447093356209E-3</v>
      </c>
      <c r="G48" s="385">
        <v>1.1184980715917598E-3</v>
      </c>
      <c r="H48" s="451">
        <f t="shared" si="12"/>
        <v>9.1374432654351475E-4</v>
      </c>
      <c r="I48" s="451">
        <f t="shared" si="13"/>
        <v>3.654977306174059E-3</v>
      </c>
      <c r="J48" s="11"/>
      <c r="L48" s="11"/>
      <c r="M48" s="11"/>
      <c r="N48" s="11"/>
      <c r="O48" s="11"/>
      <c r="P48" s="11"/>
      <c r="Q48" s="11"/>
      <c r="R48" s="11"/>
      <c r="S48" s="11"/>
      <c r="U48" s="574"/>
      <c r="V48" s="575"/>
    </row>
    <row r="49" spans="1:22" x14ac:dyDescent="0.3">
      <c r="A49" s="36" t="s">
        <v>462</v>
      </c>
      <c r="B49" s="12"/>
      <c r="C49" s="508"/>
      <c r="D49" s="450">
        <v>8.0886827234875652E-4</v>
      </c>
      <c r="E49" s="450">
        <v>8.6270805584845824E-4</v>
      </c>
      <c r="F49" s="450">
        <v>1.1856377694306767E-3</v>
      </c>
      <c r="G49" s="385">
        <v>1.2599308579980789E-3</v>
      </c>
      <c r="H49" s="451">
        <f t="shared" si="12"/>
        <v>1.0292862389064926E-3</v>
      </c>
      <c r="I49" s="451">
        <f t="shared" si="13"/>
        <v>4.1171449556259704E-3</v>
      </c>
      <c r="J49" s="11"/>
      <c r="L49" s="11"/>
      <c r="M49" s="11"/>
      <c r="N49" s="11"/>
      <c r="O49" s="11"/>
      <c r="P49" s="11"/>
      <c r="Q49" s="11"/>
      <c r="R49" s="11"/>
      <c r="S49" s="11"/>
      <c r="U49" s="574"/>
      <c r="V49" s="575"/>
    </row>
    <row r="50" spans="1:22" x14ac:dyDescent="0.3">
      <c r="A50" s="36" t="s">
        <v>455</v>
      </c>
      <c r="B50" s="12"/>
      <c r="C50" s="508"/>
      <c r="D50" s="450">
        <v>1.2245796723699014</v>
      </c>
      <c r="E50" s="450">
        <v>1.2428967858536972</v>
      </c>
      <c r="F50" s="450">
        <v>1.2544398532086256</v>
      </c>
      <c r="G50" s="385">
        <v>1.2643606789955457</v>
      </c>
      <c r="H50" s="451">
        <f t="shared" si="12"/>
        <v>1.2465692476069425</v>
      </c>
      <c r="I50" s="451">
        <f t="shared" si="13"/>
        <v>4.9862769904277702</v>
      </c>
      <c r="J50" s="11"/>
      <c r="L50" s="11"/>
      <c r="M50" s="525"/>
      <c r="N50" s="526"/>
      <c r="O50" s="526"/>
      <c r="P50" s="526"/>
      <c r="Q50" s="526"/>
      <c r="R50" s="526"/>
      <c r="S50" s="526"/>
      <c r="U50" s="574"/>
      <c r="V50" s="575"/>
    </row>
    <row r="51" spans="1:22" x14ac:dyDescent="0.3">
      <c r="A51" s="36" t="s">
        <v>460</v>
      </c>
      <c r="B51" s="12"/>
      <c r="C51" s="508"/>
      <c r="D51" s="450">
        <v>1.3794263543971077</v>
      </c>
      <c r="E51" s="450">
        <v>1.4000596456774794</v>
      </c>
      <c r="F51" s="450">
        <v>1.4130623205374617</v>
      </c>
      <c r="G51" s="385">
        <v>1.4242376232610283</v>
      </c>
      <c r="H51" s="451">
        <f t="shared" si="12"/>
        <v>1.4041964859682692</v>
      </c>
      <c r="I51" s="451">
        <f t="shared" si="13"/>
        <v>5.6167859438730767</v>
      </c>
      <c r="J51" s="11"/>
      <c r="L51" s="11"/>
      <c r="M51" s="11"/>
      <c r="N51" s="11"/>
      <c r="O51" s="11"/>
      <c r="P51" s="11"/>
      <c r="Q51" s="11"/>
      <c r="R51" s="11"/>
      <c r="S51" s="11"/>
    </row>
    <row r="52" spans="1:22" x14ac:dyDescent="0.3">
      <c r="A52" s="36" t="s">
        <v>454</v>
      </c>
      <c r="B52" s="12"/>
      <c r="C52" s="508"/>
      <c r="D52" s="450">
        <v>5.2858502108213354</v>
      </c>
      <c r="E52" s="450">
        <v>5.3234257303972186</v>
      </c>
      <c r="F52" s="450">
        <v>5.3464340004828195</v>
      </c>
      <c r="G52" s="385">
        <v>5.3968242170615603</v>
      </c>
      <c r="H52" s="451">
        <f t="shared" si="12"/>
        <v>5.3381335396907339</v>
      </c>
      <c r="I52" s="451">
        <f t="shared" si="13"/>
        <v>21.352534158762936</v>
      </c>
      <c r="J52" s="11"/>
      <c r="L52" s="11"/>
      <c r="M52" s="11"/>
      <c r="N52" s="11"/>
      <c r="O52" s="11"/>
      <c r="P52" s="11"/>
      <c r="Q52" s="11"/>
      <c r="R52" s="11"/>
      <c r="S52" s="11"/>
    </row>
    <row r="53" spans="1:22" x14ac:dyDescent="0.3">
      <c r="A53" s="36" t="s">
        <v>415</v>
      </c>
      <c r="B53" s="12"/>
      <c r="C53" s="508"/>
      <c r="D53" s="450">
        <v>5.4245247313065663</v>
      </c>
      <c r="E53" s="450">
        <v>5.4753941175984711</v>
      </c>
      <c r="F53" s="450">
        <v>5.4486385789573735</v>
      </c>
      <c r="G53" s="385">
        <v>5.5317685014187079</v>
      </c>
      <c r="H53" s="451">
        <f t="shared" si="12"/>
        <v>5.4700814823202792</v>
      </c>
      <c r="I53" s="451">
        <f t="shared" si="13"/>
        <v>21.880325929281117</v>
      </c>
      <c r="J53" s="11"/>
      <c r="L53" s="11"/>
      <c r="M53" s="11"/>
      <c r="N53" s="524"/>
      <c r="O53" s="524"/>
      <c r="P53" s="524"/>
      <c r="Q53" s="524"/>
      <c r="R53" s="524"/>
      <c r="S53" s="524"/>
    </row>
    <row r="54" spans="1:22" x14ac:dyDescent="0.3">
      <c r="A54" s="36" t="s">
        <v>456</v>
      </c>
      <c r="B54" s="12"/>
      <c r="C54" s="508"/>
      <c r="D54" s="450">
        <v>5.091732439143966</v>
      </c>
      <c r="E54" s="450">
        <v>5.1106990911725845</v>
      </c>
      <c r="F54" s="450">
        <v>5.2033671634078837</v>
      </c>
      <c r="G54" s="385">
        <v>5.2079280616009287</v>
      </c>
      <c r="H54" s="451">
        <f t="shared" si="12"/>
        <v>5.1534316888313407</v>
      </c>
      <c r="I54" s="451">
        <f t="shared" si="13"/>
        <v>20.613726755325363</v>
      </c>
      <c r="J54" s="11"/>
      <c r="L54" s="11"/>
      <c r="M54" s="11"/>
      <c r="N54" s="11"/>
      <c r="O54" s="11"/>
      <c r="P54" s="11"/>
      <c r="Q54" s="11"/>
      <c r="R54" s="11"/>
      <c r="S54" s="11"/>
      <c r="U54" s="574"/>
      <c r="V54" s="575"/>
    </row>
    <row r="55" spans="1:22" x14ac:dyDescent="0.3">
      <c r="A55" s="36" t="s">
        <v>457</v>
      </c>
      <c r="B55" s="12"/>
      <c r="C55" s="508"/>
      <c r="D55" s="450">
        <v>5.9542398512066557</v>
      </c>
      <c r="E55" s="450">
        <v>5.9965667517363919</v>
      </c>
      <c r="F55" s="450">
        <v>6.0224843909404973</v>
      </c>
      <c r="G55" s="385">
        <v>6.0792463920751176</v>
      </c>
      <c r="H55" s="451">
        <f t="shared" si="12"/>
        <v>6.0131343464896654</v>
      </c>
      <c r="I55" s="451">
        <f t="shared" si="13"/>
        <v>24.052537385958662</v>
      </c>
      <c r="J55" s="11"/>
      <c r="L55" s="11"/>
      <c r="M55" s="11"/>
      <c r="N55" s="11"/>
      <c r="O55" s="11"/>
      <c r="P55" s="11"/>
      <c r="Q55" s="11"/>
      <c r="R55" s="11"/>
      <c r="S55" s="11"/>
      <c r="U55" s="574"/>
      <c r="V55" s="575"/>
    </row>
    <row r="56" spans="1:22" x14ac:dyDescent="0.3">
      <c r="A56" s="36" t="s">
        <v>458</v>
      </c>
      <c r="B56" s="12"/>
      <c r="C56" s="508"/>
      <c r="D56" s="450">
        <v>6.717237543723086</v>
      </c>
      <c r="E56" s="450">
        <v>6.7802295602317528</v>
      </c>
      <c r="F56" s="450">
        <v>6.7470979371744795</v>
      </c>
      <c r="G56" s="385">
        <v>6.85003846446922</v>
      </c>
      <c r="H56" s="451">
        <f t="shared" si="12"/>
        <v>6.7736508763996355</v>
      </c>
      <c r="I56" s="451">
        <f t="shared" si="13"/>
        <v>27.094603505598542</v>
      </c>
      <c r="J56" s="11"/>
      <c r="L56" s="11"/>
      <c r="M56" s="11"/>
      <c r="N56" s="11"/>
      <c r="O56" s="11"/>
      <c r="P56" s="11"/>
      <c r="Q56" s="11"/>
      <c r="R56" s="11"/>
      <c r="S56" s="11"/>
      <c r="U56" s="574"/>
      <c r="V56" s="575"/>
    </row>
    <row r="57" spans="1:22" x14ac:dyDescent="0.3">
      <c r="A57" s="59" t="s">
        <v>459</v>
      </c>
      <c r="B57" s="15"/>
      <c r="C57" s="509"/>
      <c r="D57" s="452">
        <v>5.091732439143966</v>
      </c>
      <c r="E57" s="452">
        <v>5.1106990911725845</v>
      </c>
      <c r="F57" s="452">
        <v>5.2033671634078837</v>
      </c>
      <c r="G57" s="453">
        <v>5.2079280616009287</v>
      </c>
      <c r="H57" s="454">
        <f t="shared" si="12"/>
        <v>5.1534316888313407</v>
      </c>
      <c r="I57" s="454">
        <f t="shared" si="13"/>
        <v>20.613726755325363</v>
      </c>
      <c r="J57" s="11"/>
      <c r="L57" s="11"/>
      <c r="N57" s="11"/>
      <c r="O57" s="11"/>
      <c r="P57" s="11"/>
      <c r="Q57" s="11"/>
      <c r="R57" s="11"/>
      <c r="S57" s="11"/>
      <c r="U57" s="574"/>
    </row>
    <row r="58" spans="1:22" x14ac:dyDescent="0.3">
      <c r="N58" s="11"/>
      <c r="O58" s="11"/>
      <c r="P58" s="11"/>
      <c r="Q58" s="11"/>
      <c r="R58" s="11"/>
      <c r="S58" s="11"/>
      <c r="U58" s="574"/>
    </row>
    <row r="59" spans="1:22" x14ac:dyDescent="0.3">
      <c r="A59" s="657" t="s">
        <v>391</v>
      </c>
      <c r="B59" s="455" t="str" cm="1">
        <f t="array" ref="B59">_xlfn.IFNA(_xlfn.IFS(C59=FALSE,"EF",D59=FALSE,"EF",E59=FALSE,"EF",G59=FALSE,"EF",H59=FALSE,"EF",I59=FALSE,"EF"),"")</f>
        <v/>
      </c>
      <c r="C59" s="456" t="s">
        <v>480</v>
      </c>
      <c r="D59" s="456" t="s">
        <v>480</v>
      </c>
      <c r="E59" s="456" t="s">
        <v>480</v>
      </c>
      <c r="F59" s="456" t="s">
        <v>480</v>
      </c>
      <c r="G59" s="456" t="s">
        <v>480</v>
      </c>
      <c r="H59" s="456" t="s">
        <v>480</v>
      </c>
      <c r="I59" s="456" t="s">
        <v>480</v>
      </c>
      <c r="N59" s="11"/>
      <c r="O59" s="11"/>
      <c r="P59" s="11"/>
      <c r="Q59" s="11"/>
      <c r="R59" s="11"/>
      <c r="S59" s="11"/>
      <c r="U59" s="574"/>
      <c r="V59" s="575"/>
    </row>
    <row r="60" spans="1:22" x14ac:dyDescent="0.3">
      <c r="A60" s="657"/>
      <c r="B60" s="455" t="str" cm="1">
        <f t="array" ref="B60">_xlfn.IFNA(_xlfn.IFS(C60=FALSE,"OR",D60=FALSE,"OR",E60=FALSE,"OR",G60=FALSE,"OR",H60=FALSE,"OR",I60=FALSE,"OR"),"")</f>
        <v/>
      </c>
      <c r="C60" s="456" t="s">
        <v>480</v>
      </c>
      <c r="D60" s="456" t="s">
        <v>480</v>
      </c>
      <c r="E60" s="456" t="s">
        <v>480</v>
      </c>
      <c r="F60" s="456" t="s">
        <v>480</v>
      </c>
      <c r="G60" s="456" t="s">
        <v>480</v>
      </c>
      <c r="H60" s="456" t="s">
        <v>480</v>
      </c>
      <c r="I60" s="456" t="s">
        <v>480</v>
      </c>
      <c r="N60" s="11"/>
      <c r="O60" s="11"/>
      <c r="P60" s="11"/>
      <c r="Q60" s="11"/>
      <c r="R60" s="11"/>
      <c r="S60" s="11"/>
      <c r="U60" s="574"/>
      <c r="V60" s="575"/>
    </row>
    <row r="61" spans="1:22" x14ac:dyDescent="0.3">
      <c r="A61" s="657"/>
      <c r="B61" s="455" t="str" cm="1">
        <f t="array" ref="B61">_xlfn.IFNA(_xlfn.IFS(C61=FALSE,"CV",D61=FALSE,"CV",E61=FALSE,"CV",G61=FALSE,"CV",H61=FALSE,"CV",I61=FALSE,"CV"),"")</f>
        <v/>
      </c>
      <c r="C61" s="456" t="s">
        <v>480</v>
      </c>
      <c r="D61" s="456" t="s">
        <v>480</v>
      </c>
      <c r="E61" s="456" t="s">
        <v>480</v>
      </c>
      <c r="F61" s="456" t="s">
        <v>480</v>
      </c>
      <c r="G61" s="456" t="s">
        <v>480</v>
      </c>
      <c r="H61" s="456" t="s">
        <v>480</v>
      </c>
      <c r="I61" s="456" t="s">
        <v>480</v>
      </c>
    </row>
    <row r="62" spans="1:22" x14ac:dyDescent="0.3">
      <c r="A62" s="657"/>
      <c r="B62" s="455" t="str" cm="1">
        <f t="array" ref="B62">_xlfn.IFNA(_xlfn.IFS(C62=FALSE,"CF",D62=FALSE,"CF",E62=FALSE,"CF",G62=FALSE,"CF",H62=FALSE,"CF",I62=FALSE,"CF"),"")</f>
        <v/>
      </c>
      <c r="C62" s="456" t="s">
        <v>480</v>
      </c>
      <c r="D62" s="456" t="s">
        <v>480</v>
      </c>
      <c r="E62" s="456" t="s">
        <v>480</v>
      </c>
      <c r="F62" s="456" t="s">
        <v>480</v>
      </c>
      <c r="G62" s="456" t="s">
        <v>480</v>
      </c>
      <c r="H62" s="456" t="s">
        <v>480</v>
      </c>
      <c r="I62" s="456" t="s">
        <v>480</v>
      </c>
    </row>
    <row r="63" spans="1:22" x14ac:dyDescent="0.3">
      <c r="A63" s="657"/>
      <c r="B63" s="455" t="str" cm="1">
        <f t="array" ref="B63">_xlfn.IFNA(_xlfn.IFS(C63=FALSE,"CST",D63=FALSE,"CST",E63=FALSE,"CST",G63=FALSE,"CST",H63=FALSE,"CST",I63=FALSE,"CST"),"")</f>
        <v/>
      </c>
      <c r="C63" s="456" t="s">
        <v>480</v>
      </c>
      <c r="D63" s="456" t="s">
        <v>480</v>
      </c>
      <c r="E63" s="456" t="s">
        <v>480</v>
      </c>
      <c r="F63" s="456" t="s">
        <v>480</v>
      </c>
      <c r="G63" s="456" t="s">
        <v>480</v>
      </c>
      <c r="H63" s="456" t="s">
        <v>480</v>
      </c>
      <c r="I63" s="456" t="s">
        <v>480</v>
      </c>
    </row>
    <row r="66" spans="2:9" x14ac:dyDescent="0.3">
      <c r="B66" s="2"/>
      <c r="C66" s="13"/>
      <c r="D66" s="13"/>
      <c r="E66" s="13"/>
      <c r="F66" s="13"/>
      <c r="G66" s="13"/>
      <c r="H66" s="2"/>
      <c r="I66" s="2"/>
    </row>
  </sheetData>
  <mergeCells count="13">
    <mergeCell ref="A59:A63"/>
    <mergeCell ref="A1:I1"/>
    <mergeCell ref="A3:A4"/>
    <mergeCell ref="B3:B4"/>
    <mergeCell ref="K3:K4"/>
    <mergeCell ref="A12:A13"/>
    <mergeCell ref="B12:B13"/>
    <mergeCell ref="K12:K13"/>
    <mergeCell ref="A19:A20"/>
    <mergeCell ref="B19:B20"/>
    <mergeCell ref="K19:K20"/>
    <mergeCell ref="A43:A44"/>
    <mergeCell ref="B43:B44"/>
  </mergeCells>
  <printOptions horizontalCentered="1"/>
  <pageMargins left="0.70866141732283472" right="0.70866141732283472" top="0.74803149606299213" bottom="0.74803149606299213" header="0.31496062992125984" footer="0.31496062992125984"/>
  <pageSetup paperSize="9" scale="58" orientation="landscape" r:id="rId1"/>
  <headerFooter>
    <oddHeader>&amp;L&amp;F&amp;R&amp;A</oddHeader>
    <oddFooter>&amp;L&amp;D&amp;C&amp;P/&amp;N&amp;R&amp;T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25C7A-3B31-4756-9FBD-158F8CEF105A}">
  <sheetPr codeName="Sheet22">
    <tabColor theme="9"/>
    <pageSetUpPr fitToPage="1"/>
  </sheetPr>
  <dimension ref="A1:K40"/>
  <sheetViews>
    <sheetView showGridLines="0" view="pageBreakPreview" zoomScale="85" zoomScaleNormal="100" zoomScaleSheetLayoutView="85" workbookViewId="0">
      <selection sqref="A1:I1"/>
    </sheetView>
  </sheetViews>
  <sheetFormatPr baseColWidth="10" defaultColWidth="11.26953125" defaultRowHeight="13" x14ac:dyDescent="0.3"/>
  <cols>
    <col min="1" max="1" width="40.453125" style="2" bestFit="1" customWidth="1"/>
    <col min="2" max="2" width="11.453125" style="17" customWidth="1"/>
    <col min="3" max="5" width="12.453125" style="28" bestFit="1" customWidth="1"/>
    <col min="6" max="6" width="12.453125" style="28" customWidth="1"/>
    <col min="7" max="7" width="12.453125" style="28" bestFit="1" customWidth="1"/>
    <col min="8" max="8" width="9.81640625" style="28" bestFit="1" customWidth="1"/>
    <col min="9" max="9" width="10.81640625" style="28" bestFit="1" customWidth="1"/>
    <col min="10" max="10" width="3.54296875" style="2" customWidth="1"/>
    <col min="11" max="11" width="27.453125" style="2" bestFit="1" customWidth="1"/>
    <col min="12" max="16384" width="11.26953125" style="2"/>
  </cols>
  <sheetData>
    <row r="1" spans="1:11" ht="30" customHeight="1" x14ac:dyDescent="0.35">
      <c r="A1" s="658" t="s">
        <v>319</v>
      </c>
      <c r="B1" s="659"/>
      <c r="C1" s="659"/>
      <c r="D1" s="659"/>
      <c r="E1" s="659"/>
      <c r="F1" s="659"/>
      <c r="G1" s="659"/>
      <c r="H1" s="659"/>
      <c r="I1" s="660"/>
      <c r="K1"/>
    </row>
    <row r="2" spans="1:11" ht="14.5" x14ac:dyDescent="0.35">
      <c r="K2"/>
    </row>
    <row r="3" spans="1:11" ht="27.65" customHeight="1" x14ac:dyDescent="0.3">
      <c r="A3" s="653" t="s">
        <v>367</v>
      </c>
      <c r="B3" s="655" t="s">
        <v>0</v>
      </c>
      <c r="C3" s="3" t="s">
        <v>470</v>
      </c>
      <c r="D3" s="3" t="s">
        <v>414</v>
      </c>
      <c r="E3" s="3" t="s">
        <v>471</v>
      </c>
      <c r="F3" s="516" t="s">
        <v>472</v>
      </c>
      <c r="G3" s="121" t="s">
        <v>476</v>
      </c>
      <c r="H3" s="595" t="s">
        <v>256</v>
      </c>
      <c r="I3" s="594" t="s">
        <v>59</v>
      </c>
      <c r="K3" s="661" t="s">
        <v>324</v>
      </c>
    </row>
    <row r="4" spans="1:11" x14ac:dyDescent="0.3">
      <c r="A4" s="654"/>
      <c r="B4" s="656"/>
      <c r="C4" s="77">
        <v>12</v>
      </c>
      <c r="D4" s="77">
        <v>12</v>
      </c>
      <c r="E4" s="77">
        <v>12</v>
      </c>
      <c r="F4" s="77">
        <v>12</v>
      </c>
      <c r="G4" s="183">
        <v>12</v>
      </c>
      <c r="H4" s="78">
        <f t="shared" ref="H4:H9" si="0">IFERROR(AVERAGE(C4:G4),0)</f>
        <v>12</v>
      </c>
      <c r="I4" s="78">
        <f t="shared" ref="I4:I9" si="1">SUM(C4:G4)</f>
        <v>60</v>
      </c>
      <c r="K4" s="662"/>
    </row>
    <row r="5" spans="1:11" x14ac:dyDescent="0.3">
      <c r="A5" s="301" t="s">
        <v>347</v>
      </c>
      <c r="B5" s="8"/>
      <c r="C5" s="512"/>
      <c r="D5" s="608">
        <v>15716096</v>
      </c>
      <c r="E5" s="608">
        <v>15905985</v>
      </c>
      <c r="F5" s="608">
        <v>16017439</v>
      </c>
      <c r="G5" s="609">
        <v>16125217</v>
      </c>
      <c r="H5" s="10">
        <f t="shared" si="0"/>
        <v>15941184.25</v>
      </c>
      <c r="I5" s="10">
        <f t="shared" si="1"/>
        <v>63764737</v>
      </c>
      <c r="J5" s="11"/>
      <c r="K5" s="188"/>
    </row>
    <row r="6" spans="1:11" x14ac:dyDescent="0.3">
      <c r="A6" s="36" t="s">
        <v>316</v>
      </c>
      <c r="B6" s="12"/>
      <c r="C6" s="488"/>
      <c r="D6" s="610">
        <v>82916</v>
      </c>
      <c r="E6" s="610">
        <v>83918</v>
      </c>
      <c r="F6" s="610">
        <v>84506</v>
      </c>
      <c r="G6" s="611">
        <v>85075</v>
      </c>
      <c r="H6" s="14">
        <f t="shared" si="0"/>
        <v>84103.75</v>
      </c>
      <c r="I6" s="14">
        <f t="shared" si="1"/>
        <v>336415</v>
      </c>
      <c r="J6" s="11"/>
      <c r="K6" s="189"/>
    </row>
    <row r="7" spans="1:11" x14ac:dyDescent="0.3">
      <c r="A7" s="36" t="s">
        <v>448</v>
      </c>
      <c r="B7" s="12"/>
      <c r="C7" s="488"/>
      <c r="D7" s="610">
        <v>20573</v>
      </c>
      <c r="E7" s="610">
        <v>20822</v>
      </c>
      <c r="F7" s="610">
        <v>20968</v>
      </c>
      <c r="G7" s="611">
        <v>21109</v>
      </c>
      <c r="H7" s="14">
        <f t="shared" si="0"/>
        <v>20868</v>
      </c>
      <c r="I7" s="14">
        <f t="shared" si="1"/>
        <v>83472</v>
      </c>
      <c r="J7" s="11"/>
      <c r="K7" s="189"/>
    </row>
    <row r="8" spans="1:11" x14ac:dyDescent="0.3">
      <c r="A8" s="36" t="s">
        <v>351</v>
      </c>
      <c r="B8" s="12"/>
      <c r="C8" s="601"/>
      <c r="D8" s="615">
        <v>14042</v>
      </c>
      <c r="E8" s="615">
        <v>14211</v>
      </c>
      <c r="F8" s="615">
        <v>14311</v>
      </c>
      <c r="G8" s="611">
        <v>14407</v>
      </c>
      <c r="H8" s="14">
        <f t="shared" si="0"/>
        <v>14242.75</v>
      </c>
      <c r="I8" s="14">
        <f t="shared" si="1"/>
        <v>56971</v>
      </c>
      <c r="J8" s="11"/>
      <c r="K8" s="189"/>
    </row>
    <row r="9" spans="1:11" s="5" customFormat="1" x14ac:dyDescent="0.3">
      <c r="A9" s="96" t="s">
        <v>364</v>
      </c>
      <c r="B9" s="57" t="s">
        <v>322</v>
      </c>
      <c r="C9" s="479"/>
      <c r="D9" s="19">
        <f>SUM(D5:D8)</f>
        <v>15833627</v>
      </c>
      <c r="E9" s="19">
        <f>SUM(E5:E8)</f>
        <v>16024936</v>
      </c>
      <c r="F9" s="19">
        <f>SUM(F5:F8)</f>
        <v>16137224</v>
      </c>
      <c r="G9" s="35">
        <f>SUM(G5:G8)</f>
        <v>16245808</v>
      </c>
      <c r="H9" s="20">
        <f t="shared" si="0"/>
        <v>16060398.75</v>
      </c>
      <c r="I9" s="20">
        <f t="shared" si="1"/>
        <v>64241595</v>
      </c>
      <c r="J9" s="6"/>
      <c r="K9" s="190"/>
    </row>
    <row r="10" spans="1:11" x14ac:dyDescent="0.3">
      <c r="C10" s="13"/>
      <c r="D10" s="13"/>
      <c r="E10" s="13"/>
      <c r="F10" s="13"/>
      <c r="G10" s="13"/>
      <c r="H10" s="13"/>
      <c r="I10" s="13"/>
    </row>
    <row r="11" spans="1:11" ht="27.65" customHeight="1" x14ac:dyDescent="0.3">
      <c r="A11" s="653" t="s">
        <v>197</v>
      </c>
      <c r="B11" s="655" t="s">
        <v>0</v>
      </c>
      <c r="C11" s="3" t="str">
        <f>Annee0</f>
        <v>Année 0</v>
      </c>
      <c r="D11" s="3" t="str">
        <f>Annee1</f>
        <v>Année 1</v>
      </c>
      <c r="E11" s="3" t="str">
        <f>Annee2</f>
        <v>Année 2</v>
      </c>
      <c r="F11" s="516" t="str">
        <f>Annee3</f>
        <v>Année 3</v>
      </c>
      <c r="G11" s="121" t="str">
        <f>Annee4</f>
        <v>Année 4</v>
      </c>
      <c r="H11" s="595" t="s">
        <v>256</v>
      </c>
      <c r="I11" s="594" t="s">
        <v>59</v>
      </c>
      <c r="K11" s="661" t="s">
        <v>324</v>
      </c>
    </row>
    <row r="12" spans="1:11" x14ac:dyDescent="0.3">
      <c r="A12" s="654"/>
      <c r="B12" s="656"/>
      <c r="C12" s="77">
        <v>12</v>
      </c>
      <c r="D12" s="77">
        <v>12</v>
      </c>
      <c r="E12" s="77">
        <v>12</v>
      </c>
      <c r="F12" s="77">
        <v>12</v>
      </c>
      <c r="G12" s="183">
        <v>12</v>
      </c>
      <c r="H12" s="78">
        <f>IFERROR(AVERAGE(C12:G12),0)</f>
        <v>12</v>
      </c>
      <c r="I12" s="78">
        <f>SUM(C12:G12)</f>
        <v>60</v>
      </c>
      <c r="K12" s="662"/>
    </row>
    <row r="13" spans="1:11" x14ac:dyDescent="0.3">
      <c r="A13" s="301" t="s">
        <v>62</v>
      </c>
      <c r="B13" s="8"/>
      <c r="C13" s="512"/>
      <c r="D13" s="608">
        <v>10675</v>
      </c>
      <c r="E13" s="608">
        <v>11430</v>
      </c>
      <c r="F13" s="608">
        <v>15881</v>
      </c>
      <c r="G13" s="609">
        <v>17241</v>
      </c>
      <c r="H13" s="10">
        <f>IFERROR(AVERAGE(C13:G13),0)</f>
        <v>13806.75</v>
      </c>
      <c r="I13" s="10">
        <f>SUM(C13:G13)</f>
        <v>55227</v>
      </c>
      <c r="J13" s="11"/>
      <c r="K13" s="188"/>
    </row>
    <row r="14" spans="1:11" x14ac:dyDescent="0.3">
      <c r="A14" s="36" t="s">
        <v>318</v>
      </c>
      <c r="B14" s="12"/>
      <c r="C14" s="488"/>
      <c r="D14" s="610">
        <v>95000</v>
      </c>
      <c r="E14" s="610">
        <v>95000</v>
      </c>
      <c r="F14" s="610">
        <v>95000</v>
      </c>
      <c r="G14" s="611">
        <v>95000</v>
      </c>
      <c r="H14" s="14">
        <f>IFERROR(AVERAGE(C14:G14),0)</f>
        <v>95000</v>
      </c>
      <c r="I14" s="14">
        <f>SUM(C14:G14)</f>
        <v>380000</v>
      </c>
      <c r="J14" s="11"/>
      <c r="K14" s="189"/>
    </row>
    <row r="15" spans="1:11" x14ac:dyDescent="0.3">
      <c r="A15" s="59" t="s">
        <v>63</v>
      </c>
      <c r="B15" s="15"/>
      <c r="C15" s="513"/>
      <c r="D15" s="612">
        <v>0</v>
      </c>
      <c r="E15" s="612">
        <v>0</v>
      </c>
      <c r="F15" s="612">
        <v>0</v>
      </c>
      <c r="G15" s="613">
        <v>0</v>
      </c>
      <c r="H15" s="16">
        <f>IFERROR(AVERAGE(C15:G15),0)</f>
        <v>0</v>
      </c>
      <c r="I15" s="16">
        <f>SUM(C15:G15)</f>
        <v>0</v>
      </c>
      <c r="J15" s="11"/>
      <c r="K15" s="189"/>
    </row>
    <row r="16" spans="1:11" s="5" customFormat="1" x14ac:dyDescent="0.3">
      <c r="A16" s="96" t="s">
        <v>203</v>
      </c>
      <c r="B16" s="57" t="s">
        <v>322</v>
      </c>
      <c r="C16" s="479"/>
      <c r="D16" s="19">
        <f t="shared" ref="D16:G16" si="2">SUM(D13:D15)</f>
        <v>105675</v>
      </c>
      <c r="E16" s="19">
        <f t="shared" si="2"/>
        <v>106430</v>
      </c>
      <c r="F16" s="19">
        <f t="shared" si="2"/>
        <v>110881</v>
      </c>
      <c r="G16" s="35">
        <f t="shared" si="2"/>
        <v>112241</v>
      </c>
      <c r="H16" s="20">
        <f>IFERROR(AVERAGE(C16:G16),0)</f>
        <v>108806.75</v>
      </c>
      <c r="I16" s="20">
        <f>SUM(C16:G16)</f>
        <v>435227</v>
      </c>
      <c r="J16" s="6"/>
      <c r="K16" s="190"/>
    </row>
    <row r="17" spans="1:11" ht="14.5" x14ac:dyDescent="0.35">
      <c r="C17" s="13"/>
      <c r="D17" s="13"/>
      <c r="E17" s="13"/>
      <c r="F17" s="13"/>
      <c r="G17" s="13"/>
      <c r="H17" s="13"/>
      <c r="I17" s="13"/>
      <c r="K17"/>
    </row>
    <row r="18" spans="1:11" ht="27.65" customHeight="1" x14ac:dyDescent="0.3">
      <c r="A18" s="653" t="s">
        <v>194</v>
      </c>
      <c r="B18" s="655" t="s">
        <v>0</v>
      </c>
      <c r="C18" s="3" t="str">
        <f>Annee0</f>
        <v>Année 0</v>
      </c>
      <c r="D18" s="3" t="str">
        <f>Annee1</f>
        <v>Année 1</v>
      </c>
      <c r="E18" s="3" t="str">
        <f>Annee2</f>
        <v>Année 2</v>
      </c>
      <c r="F18" s="516" t="str">
        <f>Annee3</f>
        <v>Année 3</v>
      </c>
      <c r="G18" s="121" t="str">
        <f>Annee4</f>
        <v>Année 4</v>
      </c>
      <c r="H18" s="595" t="s">
        <v>256</v>
      </c>
      <c r="I18" s="594" t="s">
        <v>59</v>
      </c>
      <c r="K18" s="663" t="s">
        <v>324</v>
      </c>
    </row>
    <row r="19" spans="1:11" x14ac:dyDescent="0.3">
      <c r="A19" s="654"/>
      <c r="B19" s="656"/>
      <c r="C19" s="77">
        <v>12</v>
      </c>
      <c r="D19" s="77">
        <v>12</v>
      </c>
      <c r="E19" s="77">
        <v>12</v>
      </c>
      <c r="F19" s="77">
        <v>12</v>
      </c>
      <c r="G19" s="183">
        <v>12</v>
      </c>
      <c r="H19" s="78">
        <f t="shared" ref="H19" si="3">IFERROR(AVERAGE(C19:G19),0)</f>
        <v>12</v>
      </c>
      <c r="I19" s="78">
        <f t="shared" ref="I19" si="4">SUM(C19:G19)</f>
        <v>60</v>
      </c>
      <c r="K19" s="663"/>
    </row>
    <row r="20" spans="1:11" s="5" customFormat="1" x14ac:dyDescent="0.3">
      <c r="A20" s="302" t="s">
        <v>193</v>
      </c>
      <c r="B20" s="151" t="s">
        <v>164</v>
      </c>
      <c r="C20" s="511"/>
      <c r="D20" s="110">
        <v>29565583</v>
      </c>
      <c r="E20" s="110">
        <v>31395266</v>
      </c>
      <c r="F20" s="110">
        <v>29741084</v>
      </c>
      <c r="G20" s="186">
        <v>32433065</v>
      </c>
      <c r="H20" s="24">
        <v>30783750</v>
      </c>
      <c r="I20" s="24">
        <v>123134999</v>
      </c>
      <c r="K20" s="189"/>
    </row>
    <row r="21" spans="1:11" x14ac:dyDescent="0.3">
      <c r="A21" s="36" t="s">
        <v>1</v>
      </c>
      <c r="B21" s="12"/>
      <c r="C21" s="488"/>
      <c r="D21" s="13">
        <v>8684280</v>
      </c>
      <c r="E21" s="13">
        <v>10287644</v>
      </c>
      <c r="F21" s="13">
        <v>8500061</v>
      </c>
      <c r="G21" s="159">
        <v>10996973</v>
      </c>
      <c r="H21" s="14">
        <v>9617240</v>
      </c>
      <c r="I21" s="14">
        <v>38468958</v>
      </c>
      <c r="K21" s="188" t="s">
        <v>305</v>
      </c>
    </row>
    <row r="22" spans="1:11" x14ac:dyDescent="0.3">
      <c r="A22" s="36" t="s">
        <v>385</v>
      </c>
      <c r="B22" s="12"/>
      <c r="C22" s="488"/>
      <c r="D22" s="13">
        <v>20648206</v>
      </c>
      <c r="E22" s="13">
        <v>20844125</v>
      </c>
      <c r="F22" s="13">
        <v>21004148</v>
      </c>
      <c r="G22" s="159">
        <v>21170292</v>
      </c>
      <c r="H22" s="14">
        <v>20916693</v>
      </c>
      <c r="I22" s="14">
        <v>83666770</v>
      </c>
      <c r="K22" s="189" t="s">
        <v>294</v>
      </c>
    </row>
    <row r="23" spans="1:11" x14ac:dyDescent="0.3">
      <c r="A23" s="36" t="s">
        <v>2</v>
      </c>
      <c r="B23" s="12"/>
      <c r="C23" s="488"/>
      <c r="D23" s="13">
        <v>233097</v>
      </c>
      <c r="E23" s="13">
        <v>263497</v>
      </c>
      <c r="F23" s="13">
        <v>236876</v>
      </c>
      <c r="G23" s="159">
        <v>265801</v>
      </c>
      <c r="H23" s="14">
        <v>249818</v>
      </c>
      <c r="I23" s="14">
        <v>999271</v>
      </c>
      <c r="K23" s="189" t="s">
        <v>295</v>
      </c>
    </row>
    <row r="24" spans="1:11" s="5" customFormat="1" x14ac:dyDescent="0.3">
      <c r="A24" s="302" t="s">
        <v>195</v>
      </c>
      <c r="B24" s="151" t="s">
        <v>81</v>
      </c>
      <c r="C24" s="23">
        <v>250000</v>
      </c>
      <c r="D24" s="23">
        <v>28591971</v>
      </c>
      <c r="E24" s="23">
        <v>28630519</v>
      </c>
      <c r="F24" s="23">
        <v>28641887</v>
      </c>
      <c r="G24" s="179">
        <v>28614461</v>
      </c>
      <c r="H24" s="24">
        <v>22945767</v>
      </c>
      <c r="I24" s="24">
        <v>114728837</v>
      </c>
      <c r="K24" s="190"/>
    </row>
    <row r="25" spans="1:11" x14ac:dyDescent="0.3">
      <c r="A25" s="36" t="s">
        <v>3</v>
      </c>
      <c r="B25" s="152"/>
      <c r="C25" s="488"/>
      <c r="D25" s="13">
        <v>2119587</v>
      </c>
      <c r="E25" s="13">
        <v>2031087</v>
      </c>
      <c r="F25" s="13">
        <v>2084587</v>
      </c>
      <c r="G25" s="159">
        <v>2015087</v>
      </c>
      <c r="H25" s="14">
        <v>2062587</v>
      </c>
      <c r="I25" s="14">
        <v>8250347</v>
      </c>
      <c r="K25" s="189" t="s">
        <v>303</v>
      </c>
    </row>
    <row r="26" spans="1:11" x14ac:dyDescent="0.3">
      <c r="A26" s="36" t="s">
        <v>275</v>
      </c>
      <c r="B26" s="12"/>
      <c r="C26" s="488"/>
      <c r="D26" s="13">
        <v>771469</v>
      </c>
      <c r="E26" s="13">
        <v>771469</v>
      </c>
      <c r="F26" s="13">
        <v>771469</v>
      </c>
      <c r="G26" s="159">
        <v>771469</v>
      </c>
      <c r="H26" s="14">
        <v>771469</v>
      </c>
      <c r="I26" s="14">
        <v>3085875</v>
      </c>
      <c r="K26" s="189" t="s">
        <v>303</v>
      </c>
    </row>
    <row r="27" spans="1:11" x14ac:dyDescent="0.3">
      <c r="A27" s="36" t="s">
        <v>162</v>
      </c>
      <c r="B27" s="12"/>
      <c r="C27" s="488"/>
      <c r="D27" s="13">
        <v>9588251</v>
      </c>
      <c r="E27" s="13">
        <v>9555446</v>
      </c>
      <c r="F27" s="13">
        <v>9633759</v>
      </c>
      <c r="G27" s="159">
        <v>9666947</v>
      </c>
      <c r="H27" s="14">
        <v>9611101</v>
      </c>
      <c r="I27" s="14">
        <v>38444404</v>
      </c>
      <c r="K27" s="189" t="s">
        <v>304</v>
      </c>
    </row>
    <row r="28" spans="1:11" x14ac:dyDescent="0.3">
      <c r="A28" s="36" t="s">
        <v>4</v>
      </c>
      <c r="B28" s="12"/>
      <c r="C28" s="488"/>
      <c r="D28" s="13">
        <v>2465981</v>
      </c>
      <c r="E28" s="13">
        <v>2527423</v>
      </c>
      <c r="F28" s="13">
        <v>2488238</v>
      </c>
      <c r="G28" s="159">
        <v>2563310</v>
      </c>
      <c r="H28" s="14">
        <v>2511238</v>
      </c>
      <c r="I28" s="14">
        <v>10044952</v>
      </c>
      <c r="K28" s="189" t="s">
        <v>304</v>
      </c>
    </row>
    <row r="29" spans="1:11" x14ac:dyDescent="0.3">
      <c r="A29" s="36" t="s">
        <v>5</v>
      </c>
      <c r="B29" s="12"/>
      <c r="C29" s="488"/>
      <c r="D29" s="13">
        <v>1484365</v>
      </c>
      <c r="E29" s="13">
        <v>1506090</v>
      </c>
      <c r="F29" s="13">
        <v>1501617</v>
      </c>
      <c r="G29" s="159">
        <v>1525194</v>
      </c>
      <c r="H29" s="14">
        <v>1504316</v>
      </c>
      <c r="I29" s="14">
        <v>6017266</v>
      </c>
      <c r="K29" s="189" t="s">
        <v>303</v>
      </c>
    </row>
    <row r="30" spans="1:11" ht="12.25" customHeight="1" x14ac:dyDescent="0.3">
      <c r="A30" s="36" t="s">
        <v>172</v>
      </c>
      <c r="B30" s="12"/>
      <c r="C30" s="488"/>
      <c r="D30" s="13">
        <v>391105</v>
      </c>
      <c r="E30" s="13">
        <v>427705</v>
      </c>
      <c r="F30" s="13">
        <v>420185</v>
      </c>
      <c r="G30" s="159">
        <v>245502</v>
      </c>
      <c r="H30" s="14">
        <v>371124</v>
      </c>
      <c r="I30" s="14">
        <v>1484498</v>
      </c>
      <c r="K30" s="189" t="s">
        <v>302</v>
      </c>
    </row>
    <row r="31" spans="1:11" ht="12.25" customHeight="1" x14ac:dyDescent="0.3">
      <c r="A31" s="36" t="s">
        <v>178</v>
      </c>
      <c r="B31" s="12"/>
      <c r="C31" s="488"/>
      <c r="D31" s="13">
        <v>601366</v>
      </c>
      <c r="E31" s="13">
        <v>601366</v>
      </c>
      <c r="F31" s="13">
        <v>601366</v>
      </c>
      <c r="G31" s="159">
        <v>601366</v>
      </c>
      <c r="H31" s="14">
        <v>601366</v>
      </c>
      <c r="I31" s="14">
        <v>2405462</v>
      </c>
      <c r="K31" s="189"/>
    </row>
    <row r="32" spans="1:11" x14ac:dyDescent="0.3">
      <c r="A32" s="36" t="s">
        <v>6</v>
      </c>
      <c r="B32" s="12"/>
      <c r="C32" s="488"/>
      <c r="D32" s="13">
        <v>8984257</v>
      </c>
      <c r="E32" s="13">
        <v>8977687</v>
      </c>
      <c r="F32" s="13">
        <v>8919002</v>
      </c>
      <c r="G32" s="159">
        <v>8950503</v>
      </c>
      <c r="H32" s="14">
        <v>8957863</v>
      </c>
      <c r="I32" s="14">
        <v>35831450</v>
      </c>
      <c r="K32" s="189" t="s">
        <v>301</v>
      </c>
    </row>
    <row r="33" spans="1:11" x14ac:dyDescent="0.3">
      <c r="A33" s="36" t="s">
        <v>443</v>
      </c>
      <c r="B33" s="12"/>
      <c r="C33" s="13">
        <v>250000</v>
      </c>
      <c r="D33" s="13">
        <v>0</v>
      </c>
      <c r="E33" s="13">
        <v>0</v>
      </c>
      <c r="F33" s="13">
        <v>0</v>
      </c>
      <c r="G33" s="159">
        <v>0</v>
      </c>
      <c r="H33" s="14">
        <v>50000</v>
      </c>
      <c r="I33" s="14">
        <v>250000</v>
      </c>
      <c r="K33" s="189"/>
    </row>
    <row r="34" spans="1:11" x14ac:dyDescent="0.3">
      <c r="A34" s="36" t="s">
        <v>192</v>
      </c>
      <c r="B34" s="12"/>
      <c r="C34" s="488"/>
      <c r="D34" s="13">
        <v>2185590</v>
      </c>
      <c r="E34" s="13">
        <v>2232246</v>
      </c>
      <c r="F34" s="13">
        <v>2221664</v>
      </c>
      <c r="G34" s="159">
        <v>2275084</v>
      </c>
      <c r="H34" s="14">
        <v>2228646</v>
      </c>
      <c r="I34" s="14">
        <v>8914583</v>
      </c>
      <c r="K34" s="189"/>
    </row>
    <row r="35" spans="1:11" s="5" customFormat="1" x14ac:dyDescent="0.3">
      <c r="A35" s="302" t="s">
        <v>196</v>
      </c>
      <c r="B35" s="151" t="s">
        <v>82</v>
      </c>
      <c r="C35" s="510"/>
      <c r="D35" s="23">
        <v>33913546</v>
      </c>
      <c r="E35" s="23">
        <v>34217209</v>
      </c>
      <c r="F35" s="23">
        <v>34474878</v>
      </c>
      <c r="G35" s="179">
        <v>34464029</v>
      </c>
      <c r="H35" s="24">
        <v>34267415</v>
      </c>
      <c r="I35" s="24">
        <v>137069661</v>
      </c>
      <c r="K35" s="190" t="s">
        <v>306</v>
      </c>
    </row>
    <row r="36" spans="1:11" x14ac:dyDescent="0.3">
      <c r="A36" s="36" t="s">
        <v>384</v>
      </c>
      <c r="B36" s="12"/>
      <c r="C36" s="488"/>
      <c r="D36" s="13">
        <v>22026263</v>
      </c>
      <c r="E36" s="13">
        <v>21999677</v>
      </c>
      <c r="F36" s="13">
        <v>21976310</v>
      </c>
      <c r="G36" s="159">
        <v>21890202</v>
      </c>
      <c r="H36" s="14">
        <v>21973113</v>
      </c>
      <c r="I36" s="14">
        <v>87892453</v>
      </c>
      <c r="K36" s="188"/>
    </row>
    <row r="37" spans="1:11" x14ac:dyDescent="0.3">
      <c r="A37" s="36" t="s">
        <v>386</v>
      </c>
      <c r="B37" s="12"/>
      <c r="C37" s="488"/>
      <c r="D37" s="13">
        <v>11887282</v>
      </c>
      <c r="E37" s="13">
        <v>12217532</v>
      </c>
      <c r="F37" s="13">
        <v>12498567</v>
      </c>
      <c r="G37" s="159">
        <v>12573827</v>
      </c>
      <c r="H37" s="14">
        <v>12294302</v>
      </c>
      <c r="I37" s="14">
        <v>49177208</v>
      </c>
      <c r="K37" s="189"/>
    </row>
    <row r="38" spans="1:11" s="5" customFormat="1" x14ac:dyDescent="0.3">
      <c r="A38" s="96" t="s">
        <v>204</v>
      </c>
      <c r="B38" s="57"/>
      <c r="C38" s="19">
        <v>250000</v>
      </c>
      <c r="D38" s="19">
        <v>92071100</v>
      </c>
      <c r="E38" s="19">
        <v>94242994</v>
      </c>
      <c r="F38" s="19">
        <v>92857849</v>
      </c>
      <c r="G38" s="35">
        <v>95511555</v>
      </c>
      <c r="H38" s="20">
        <v>74986700</v>
      </c>
      <c r="I38" s="35">
        <v>374933498</v>
      </c>
      <c r="J38" s="6"/>
      <c r="K38" s="190"/>
    </row>
    <row r="40" spans="1:11" x14ac:dyDescent="0.3">
      <c r="B40" s="2"/>
      <c r="C40" s="13"/>
      <c r="D40" s="13"/>
      <c r="E40" s="13"/>
      <c r="F40" s="13"/>
      <c r="G40" s="13"/>
      <c r="H40" s="2"/>
      <c r="I40" s="2"/>
    </row>
  </sheetData>
  <mergeCells count="10">
    <mergeCell ref="A18:A19"/>
    <mergeCell ref="B18:B19"/>
    <mergeCell ref="K18:K19"/>
    <mergeCell ref="A1:I1"/>
    <mergeCell ref="A3:A4"/>
    <mergeCell ref="B3:B4"/>
    <mergeCell ref="K3:K4"/>
    <mergeCell ref="A11:A12"/>
    <mergeCell ref="B11:B12"/>
    <mergeCell ref="K11:K12"/>
  </mergeCells>
  <printOptions horizontalCentered="1"/>
  <pageMargins left="0.70866141732283472" right="0.70866141732283472" top="0.74803149606299213" bottom="0.74803149606299213" header="0.31496062992125984" footer="0.31496062992125984"/>
  <pageSetup paperSize="9" scale="79" orientation="landscape" r:id="rId1"/>
  <headerFooter>
    <oddHeader>&amp;L&amp;F&amp;R&amp;A</oddHeader>
    <oddFooter>&amp;L&amp;D&amp;C&amp;P/&amp;N&amp;R&amp;T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sheetPr>
  <dimension ref="A1:K89"/>
  <sheetViews>
    <sheetView showGridLines="0" view="pageBreakPreview" zoomScale="85" zoomScaleNormal="100" zoomScaleSheetLayoutView="85" workbookViewId="0">
      <selection sqref="A1:I1"/>
    </sheetView>
  </sheetViews>
  <sheetFormatPr baseColWidth="10" defaultColWidth="11.26953125" defaultRowHeight="13" outlineLevelCol="1" x14ac:dyDescent="0.3"/>
  <cols>
    <col min="1" max="1" width="45.453125" style="2" bestFit="1" customWidth="1"/>
    <col min="2" max="2" width="44.26953125" style="306" bestFit="1" customWidth="1" outlineLevel="1"/>
    <col min="3" max="5" width="10.1796875" style="64" customWidth="1"/>
    <col min="6" max="7" width="10.26953125" style="64" customWidth="1"/>
    <col min="8" max="9" width="11.81640625" style="64" customWidth="1"/>
    <col min="10" max="16384" width="11.26953125" style="2"/>
  </cols>
  <sheetData>
    <row r="1" spans="1:10" ht="26.15" customHeight="1" x14ac:dyDescent="0.3">
      <c r="A1" s="658" t="s">
        <v>320</v>
      </c>
      <c r="B1" s="664"/>
      <c r="C1" s="664"/>
      <c r="D1" s="664"/>
      <c r="E1" s="664"/>
      <c r="F1" s="664"/>
      <c r="G1" s="664"/>
      <c r="H1" s="664"/>
      <c r="I1" s="665"/>
    </row>
    <row r="2" spans="1:10" x14ac:dyDescent="0.3">
      <c r="B2" s="2"/>
      <c r="C2" s="11"/>
      <c r="D2" s="11"/>
      <c r="E2" s="11"/>
      <c r="F2" s="2"/>
      <c r="G2" s="2"/>
      <c r="H2" s="2"/>
      <c r="I2" s="2"/>
    </row>
    <row r="3" spans="1:10" x14ac:dyDescent="0.3">
      <c r="A3" s="42" t="s">
        <v>69</v>
      </c>
      <c r="B3" s="43"/>
      <c r="C3" s="44"/>
      <c r="D3" s="44"/>
      <c r="E3" s="44"/>
      <c r="F3" s="44"/>
      <c r="G3" s="44"/>
      <c r="H3" s="44"/>
      <c r="I3" s="44"/>
      <c r="J3" s="11"/>
    </row>
    <row r="4" spans="1:10" x14ac:dyDescent="0.3">
      <c r="B4" s="2"/>
      <c r="C4" s="11"/>
      <c r="D4" s="11"/>
      <c r="E4" s="11"/>
      <c r="F4" s="2"/>
      <c r="G4" s="2"/>
      <c r="H4" s="2"/>
      <c r="I4" s="2"/>
    </row>
    <row r="5" spans="1:10" ht="26" x14ac:dyDescent="0.3">
      <c r="A5" s="666" t="s">
        <v>366</v>
      </c>
      <c r="B5" s="655"/>
      <c r="C5" s="3" t="str">
        <f>Annee0</f>
        <v>Année 0</v>
      </c>
      <c r="D5" s="3" t="str">
        <f>Annee1</f>
        <v>Année 1</v>
      </c>
      <c r="E5" s="3" t="str">
        <f>Annee2</f>
        <v>Année 2</v>
      </c>
      <c r="F5" s="516" t="str">
        <f>Annee3</f>
        <v>Année 3</v>
      </c>
      <c r="G5" s="541" t="str">
        <f>Annee4</f>
        <v>Année 4</v>
      </c>
      <c r="H5" s="181" t="s">
        <v>256</v>
      </c>
      <c r="I5" s="4" t="s">
        <v>59</v>
      </c>
      <c r="J5" s="11"/>
    </row>
    <row r="6" spans="1:10" x14ac:dyDescent="0.3">
      <c r="A6" s="667"/>
      <c r="B6" s="656"/>
      <c r="C6" s="77">
        <v>12</v>
      </c>
      <c r="D6" s="77">
        <v>12</v>
      </c>
      <c r="E6" s="77">
        <v>12</v>
      </c>
      <c r="F6" s="77">
        <v>12</v>
      </c>
      <c r="G6" s="183">
        <v>12</v>
      </c>
      <c r="H6" s="78">
        <f t="shared" ref="H6:H14" si="0">IFERROR(AVERAGE(C6:G6),0)</f>
        <v>12</v>
      </c>
      <c r="I6" s="78">
        <f t="shared" ref="I6:I14" si="1">SUM(C6:G6)</f>
        <v>60</v>
      </c>
    </row>
    <row r="7" spans="1:10" x14ac:dyDescent="0.3">
      <c r="A7" s="115" t="s">
        <v>347</v>
      </c>
      <c r="B7" s="53"/>
      <c r="C7" s="474"/>
      <c r="D7" s="223">
        <f t="shared" ref="D7:G7" si="2">SUM(D8:D11)</f>
        <v>16667358.36478504</v>
      </c>
      <c r="E7" s="223">
        <f t="shared" si="2"/>
        <v>17049073.953796949</v>
      </c>
      <c r="F7" s="223">
        <f t="shared" ref="F7" si="3">SUM(F8:F11)</f>
        <v>17340318.087482359</v>
      </c>
      <c r="G7" s="224">
        <f t="shared" si="2"/>
        <v>17611708.257790316</v>
      </c>
      <c r="H7" s="300">
        <f t="shared" si="0"/>
        <v>17167114.665963665</v>
      </c>
      <c r="I7" s="300">
        <f t="shared" si="1"/>
        <v>68668458.663854659</v>
      </c>
    </row>
    <row r="8" spans="1:10" x14ac:dyDescent="0.3">
      <c r="A8" s="36" t="s">
        <v>348</v>
      </c>
      <c r="B8" s="37"/>
      <c r="C8" s="497"/>
      <c r="D8" s="320">
        <v>9736938.1112184674</v>
      </c>
      <c r="E8" s="320">
        <v>9959933.3204742428</v>
      </c>
      <c r="F8" s="553">
        <v>10130075.825536223</v>
      </c>
      <c r="G8" s="321">
        <v>10288619.803198857</v>
      </c>
      <c r="H8" s="10">
        <f t="shared" si="0"/>
        <v>10028891.765106948</v>
      </c>
      <c r="I8" s="39">
        <f t="shared" si="1"/>
        <v>40115567.060427792</v>
      </c>
    </row>
    <row r="9" spans="1:10" ht="13.15" customHeight="1" x14ac:dyDescent="0.3">
      <c r="A9" s="36" t="s">
        <v>349</v>
      </c>
      <c r="B9" s="37"/>
      <c r="C9" s="497"/>
      <c r="D9" s="319">
        <v>3873375.9342521862</v>
      </c>
      <c r="E9" s="319">
        <v>3962083.9312753663</v>
      </c>
      <c r="F9" s="553">
        <v>4029767.0034046993</v>
      </c>
      <c r="G9" s="321">
        <v>4092836.1551836892</v>
      </c>
      <c r="H9" s="39">
        <f t="shared" si="0"/>
        <v>3989515.7560289851</v>
      </c>
      <c r="I9" s="39">
        <f t="shared" si="1"/>
        <v>15958063.024115941</v>
      </c>
    </row>
    <row r="10" spans="1:10" x14ac:dyDescent="0.3">
      <c r="A10" s="36" t="s">
        <v>350</v>
      </c>
      <c r="B10" s="37"/>
      <c r="C10" s="497"/>
      <c r="D10" s="319">
        <v>2687511.4895071541</v>
      </c>
      <c r="E10" s="319">
        <v>2749060.8369646948</v>
      </c>
      <c r="F10" s="553">
        <v>2796022.2053111531</v>
      </c>
      <c r="G10" s="321">
        <v>2839782.2412375989</v>
      </c>
      <c r="H10" s="39">
        <f t="shared" si="0"/>
        <v>2768094.1932551502</v>
      </c>
      <c r="I10" s="39">
        <f t="shared" si="1"/>
        <v>11072376.773020601</v>
      </c>
    </row>
    <row r="11" spans="1:10" x14ac:dyDescent="0.3">
      <c r="A11" s="36" t="s">
        <v>446</v>
      </c>
      <c r="B11" s="37"/>
      <c r="C11" s="497"/>
      <c r="D11" s="319">
        <v>369532.82980723371</v>
      </c>
      <c r="E11" s="319">
        <v>377995.8650826455</v>
      </c>
      <c r="F11" s="553">
        <v>384453.05323028349</v>
      </c>
      <c r="G11" s="321">
        <v>390470.05817016977</v>
      </c>
      <c r="H11" s="39">
        <f t="shared" si="0"/>
        <v>380612.95157258312</v>
      </c>
      <c r="I11" s="39">
        <f t="shared" si="1"/>
        <v>1522451.8062903325</v>
      </c>
    </row>
    <row r="12" spans="1:10" x14ac:dyDescent="0.3">
      <c r="A12" s="115" t="s">
        <v>316</v>
      </c>
      <c r="B12" s="53"/>
      <c r="C12" s="506"/>
      <c r="D12" s="314">
        <v>87344.123408982501</v>
      </c>
      <c r="E12" s="314">
        <v>89344.47720135258</v>
      </c>
      <c r="F12" s="314">
        <v>90870.721672612461</v>
      </c>
      <c r="G12" s="315">
        <v>92292.922840221945</v>
      </c>
      <c r="H12" s="300">
        <f t="shared" si="0"/>
        <v>89963.061280792375</v>
      </c>
      <c r="I12" s="300">
        <f t="shared" si="1"/>
        <v>359852.2451231695</v>
      </c>
    </row>
    <row r="13" spans="1:10" x14ac:dyDescent="0.3">
      <c r="A13" s="115" t="s">
        <v>448</v>
      </c>
      <c r="B13" s="53"/>
      <c r="C13" s="506"/>
      <c r="D13" s="314">
        <v>21836.030852245625</v>
      </c>
      <c r="E13" s="314">
        <v>22336.119300338145</v>
      </c>
      <c r="F13" s="314">
        <v>22717.680418153115</v>
      </c>
      <c r="G13" s="315">
        <v>23073.230710055486</v>
      </c>
      <c r="H13" s="300">
        <f t="shared" si="0"/>
        <v>22490.765320198094</v>
      </c>
      <c r="I13" s="300">
        <f t="shared" si="1"/>
        <v>89963.061280792375</v>
      </c>
    </row>
    <row r="14" spans="1:10" x14ac:dyDescent="0.3">
      <c r="A14" s="115" t="s">
        <v>351</v>
      </c>
      <c r="B14" s="53"/>
      <c r="C14" s="506"/>
      <c r="D14" s="314">
        <v>20408.290373444954</v>
      </c>
      <c r="E14" s="314">
        <v>20875.680730700653</v>
      </c>
      <c r="F14" s="314">
        <v>21232.293621581568</v>
      </c>
      <c r="G14" s="315">
        <v>21564.596394398013</v>
      </c>
      <c r="H14" s="300">
        <f t="shared" si="0"/>
        <v>21020.215280031298</v>
      </c>
      <c r="I14" s="300">
        <f t="shared" si="1"/>
        <v>84080.861120125192</v>
      </c>
    </row>
    <row r="15" spans="1:10" x14ac:dyDescent="0.3">
      <c r="A15" s="580" t="s">
        <v>496</v>
      </c>
      <c r="B15" s="596"/>
      <c r="C15" s="597"/>
      <c r="D15" s="598">
        <v>2568246.9501506751</v>
      </c>
      <c r="E15" s="598">
        <v>2589295.1241666316</v>
      </c>
      <c r="F15" s="598">
        <v>2596698.5716691301</v>
      </c>
      <c r="G15" s="599">
        <v>2600319.7344789151</v>
      </c>
      <c r="H15" s="600">
        <f>IFERROR(AVERAGE(C15:G15),0)</f>
        <v>2588640.0951163378</v>
      </c>
      <c r="I15" s="600">
        <f>SUM(C15:G15)</f>
        <v>10354560.380465351</v>
      </c>
    </row>
    <row r="16" spans="1:10" x14ac:dyDescent="0.3">
      <c r="A16" s="18" t="s">
        <v>365</v>
      </c>
      <c r="B16" s="34"/>
      <c r="C16" s="476"/>
      <c r="D16" s="19">
        <f>D7+D12+D13+D14+D15</f>
        <v>19365193.75957039</v>
      </c>
      <c r="E16" s="19">
        <f t="shared" ref="E16:G16" si="4">E7+E12+E13+E14+E15</f>
        <v>19770925.355195973</v>
      </c>
      <c r="F16" s="19">
        <f t="shared" si="4"/>
        <v>20071837.354863837</v>
      </c>
      <c r="G16" s="35">
        <f t="shared" si="4"/>
        <v>20348958.742213905</v>
      </c>
      <c r="H16" s="35">
        <f>IFERROR(AVERAGE(C16:G16),0)</f>
        <v>19889228.802961025</v>
      </c>
      <c r="I16" s="35">
        <f>SUM(C16:G16)</f>
        <v>79556915.211844102</v>
      </c>
    </row>
    <row r="18" spans="1:9" x14ac:dyDescent="0.3">
      <c r="A18" s="42" t="s">
        <v>99</v>
      </c>
      <c r="B18" s="307"/>
      <c r="C18" s="44"/>
      <c r="D18" s="44"/>
      <c r="E18" s="44"/>
      <c r="F18" s="44"/>
      <c r="G18" s="44"/>
      <c r="H18" s="44"/>
      <c r="I18" s="44"/>
    </row>
    <row r="19" spans="1:9" customFormat="1" ht="14.5" x14ac:dyDescent="0.35">
      <c r="B19" s="308"/>
    </row>
    <row r="20" spans="1:9" ht="26" x14ac:dyDescent="0.3">
      <c r="A20" s="653" t="s">
        <v>323</v>
      </c>
      <c r="B20" s="655" t="s">
        <v>321</v>
      </c>
      <c r="C20" s="3" t="str">
        <f>Annee0</f>
        <v>Année 0</v>
      </c>
      <c r="D20" s="3" t="str">
        <f>Annee1</f>
        <v>Année 1</v>
      </c>
      <c r="E20" s="3" t="str">
        <f>Annee2</f>
        <v>Année 2</v>
      </c>
      <c r="F20" s="516" t="str">
        <f>Annee3</f>
        <v>Année 3</v>
      </c>
      <c r="G20" s="516" t="str">
        <f>Annee4</f>
        <v>Année 4</v>
      </c>
      <c r="H20" s="568" t="s">
        <v>256</v>
      </c>
      <c r="I20" s="567" t="s">
        <v>59</v>
      </c>
    </row>
    <row r="21" spans="1:9" x14ac:dyDescent="0.3">
      <c r="A21" s="654"/>
      <c r="B21" s="656"/>
      <c r="C21" s="304">
        <v>12</v>
      </c>
      <c r="D21" s="77">
        <v>12</v>
      </c>
      <c r="E21" s="77">
        <v>12</v>
      </c>
      <c r="F21" s="77">
        <v>12</v>
      </c>
      <c r="G21" s="77">
        <v>12</v>
      </c>
      <c r="H21" s="78">
        <f t="shared" ref="H21:H75" si="5">IFERROR(AVERAGE(C21:G21),0)</f>
        <v>12</v>
      </c>
      <c r="I21" s="78">
        <f t="shared" ref="I21:I75" si="6">SUM(C21:G21)</f>
        <v>60</v>
      </c>
    </row>
    <row r="22" spans="1:9" x14ac:dyDescent="0.3">
      <c r="A22" s="115" t="s">
        <v>216</v>
      </c>
      <c r="B22" s="309"/>
      <c r="C22" s="505"/>
      <c r="D22" s="298">
        <f>D23+D38+D53+D62+D71</f>
        <v>11132.5</v>
      </c>
      <c r="E22" s="298">
        <f t="shared" ref="E22:G22" si="7">E23+E38+E53+E62+E71</f>
        <v>11873.5</v>
      </c>
      <c r="F22" s="298">
        <f t="shared" si="7"/>
        <v>16318</v>
      </c>
      <c r="G22" s="298">
        <f t="shared" si="7"/>
        <v>17340.5</v>
      </c>
      <c r="H22" s="299">
        <f t="shared" si="5"/>
        <v>14166.125</v>
      </c>
      <c r="I22" s="299">
        <f t="shared" si="6"/>
        <v>56664.5</v>
      </c>
    </row>
    <row r="23" spans="1:9" x14ac:dyDescent="0.3">
      <c r="A23" s="116" t="s">
        <v>215</v>
      </c>
      <c r="B23" s="310"/>
      <c r="C23" s="499"/>
      <c r="D23" s="297">
        <f>SUM(D24:D37)</f>
        <v>1471</v>
      </c>
      <c r="E23" s="297">
        <f t="shared" ref="E23:G23" si="8">SUM(E24:E37)</f>
        <v>1594</v>
      </c>
      <c r="F23" s="297">
        <f t="shared" si="8"/>
        <v>2021</v>
      </c>
      <c r="G23" s="297">
        <f t="shared" si="8"/>
        <v>2144</v>
      </c>
      <c r="H23" s="62">
        <f t="shared" si="5"/>
        <v>1807.5</v>
      </c>
      <c r="I23" s="62">
        <f t="shared" si="6"/>
        <v>7230</v>
      </c>
    </row>
    <row r="24" spans="1:9" x14ac:dyDescent="0.3">
      <c r="A24" s="30" t="s">
        <v>207</v>
      </c>
      <c r="B24" s="293" t="s">
        <v>212</v>
      </c>
      <c r="C24" s="472"/>
      <c r="D24" s="312">
        <v>0</v>
      </c>
      <c r="E24" s="312">
        <v>0</v>
      </c>
      <c r="F24" s="547">
        <v>0</v>
      </c>
      <c r="G24" s="547">
        <v>0</v>
      </c>
      <c r="H24" s="14">
        <f t="shared" si="5"/>
        <v>0</v>
      </c>
      <c r="I24" s="14">
        <f t="shared" si="6"/>
        <v>0</v>
      </c>
    </row>
    <row r="25" spans="1:9" x14ac:dyDescent="0.3">
      <c r="A25" s="30" t="s">
        <v>208</v>
      </c>
      <c r="B25" s="293" t="s">
        <v>212</v>
      </c>
      <c r="C25" s="472"/>
      <c r="D25" s="312">
        <v>0</v>
      </c>
      <c r="E25" s="312">
        <v>0</v>
      </c>
      <c r="F25" s="547">
        <v>0</v>
      </c>
      <c r="G25" s="547">
        <v>0</v>
      </c>
      <c r="H25" s="14">
        <f t="shared" si="5"/>
        <v>0</v>
      </c>
      <c r="I25" s="14">
        <f t="shared" si="6"/>
        <v>0</v>
      </c>
    </row>
    <row r="26" spans="1:9" x14ac:dyDescent="0.3">
      <c r="A26" s="30" t="s">
        <v>209</v>
      </c>
      <c r="B26" s="293" t="s">
        <v>212</v>
      </c>
      <c r="C26" s="472"/>
      <c r="D26" s="312">
        <v>0</v>
      </c>
      <c r="E26" s="312">
        <v>0</v>
      </c>
      <c r="F26" s="547">
        <v>0</v>
      </c>
      <c r="G26" s="547">
        <v>0</v>
      </c>
      <c r="H26" s="14">
        <f t="shared" si="5"/>
        <v>0</v>
      </c>
      <c r="I26" s="14">
        <f t="shared" si="6"/>
        <v>0</v>
      </c>
    </row>
    <row r="27" spans="1:9" x14ac:dyDescent="0.3">
      <c r="A27" s="30" t="s">
        <v>210</v>
      </c>
      <c r="B27" s="293" t="s">
        <v>212</v>
      </c>
      <c r="C27" s="472"/>
      <c r="D27" s="312">
        <v>60</v>
      </c>
      <c r="E27" s="312">
        <v>60</v>
      </c>
      <c r="F27" s="547">
        <v>75</v>
      </c>
      <c r="G27" s="547">
        <v>75</v>
      </c>
      <c r="H27" s="14">
        <f t="shared" ref="H27:H37" si="9">IFERROR(AVERAGE(C27:G27),0)</f>
        <v>67.5</v>
      </c>
      <c r="I27" s="14">
        <f t="shared" ref="I27:I37" si="10">SUM(C27:G27)</f>
        <v>270</v>
      </c>
    </row>
    <row r="28" spans="1:9" x14ac:dyDescent="0.3">
      <c r="A28" s="577" t="s">
        <v>211</v>
      </c>
      <c r="B28" s="569" t="s">
        <v>212</v>
      </c>
      <c r="C28" s="472"/>
      <c r="D28" s="578">
        <v>0</v>
      </c>
      <c r="E28" s="578">
        <v>0</v>
      </c>
      <c r="F28" s="578">
        <v>0</v>
      </c>
      <c r="G28" s="578">
        <v>0</v>
      </c>
      <c r="H28" s="585">
        <f t="shared" si="9"/>
        <v>0</v>
      </c>
      <c r="I28" s="579">
        <f t="shared" si="10"/>
        <v>0</v>
      </c>
    </row>
    <row r="29" spans="1:9" x14ac:dyDescent="0.3">
      <c r="A29" s="577" t="s">
        <v>487</v>
      </c>
      <c r="B29" s="569" t="s">
        <v>212</v>
      </c>
      <c r="C29" s="472"/>
      <c r="D29" s="578">
        <v>300</v>
      </c>
      <c r="E29" s="578">
        <v>300</v>
      </c>
      <c r="F29" s="578">
        <v>375</v>
      </c>
      <c r="G29" s="578">
        <v>375</v>
      </c>
      <c r="H29" s="585">
        <f t="shared" si="9"/>
        <v>337.5</v>
      </c>
      <c r="I29" s="579">
        <f t="shared" si="10"/>
        <v>1350</v>
      </c>
    </row>
    <row r="30" spans="1:9" x14ac:dyDescent="0.3">
      <c r="A30" s="30" t="s">
        <v>488</v>
      </c>
      <c r="B30" s="569" t="s">
        <v>212</v>
      </c>
      <c r="C30" s="472"/>
      <c r="D30" s="312">
        <v>324</v>
      </c>
      <c r="E30" s="312">
        <v>324</v>
      </c>
      <c r="F30" s="547">
        <v>324</v>
      </c>
      <c r="G30" s="547">
        <v>324</v>
      </c>
      <c r="H30" s="14">
        <f t="shared" si="9"/>
        <v>324</v>
      </c>
      <c r="I30" s="14">
        <f t="shared" si="10"/>
        <v>1296</v>
      </c>
    </row>
    <row r="31" spans="1:9" x14ac:dyDescent="0.3">
      <c r="A31" s="30" t="s">
        <v>207</v>
      </c>
      <c r="B31" s="293" t="s">
        <v>213</v>
      </c>
      <c r="C31" s="472"/>
      <c r="D31" s="312">
        <v>0</v>
      </c>
      <c r="E31" s="312">
        <v>0</v>
      </c>
      <c r="F31" s="547">
        <v>0</v>
      </c>
      <c r="G31" s="547">
        <v>0</v>
      </c>
      <c r="H31" s="14">
        <f t="shared" si="9"/>
        <v>0</v>
      </c>
      <c r="I31" s="14">
        <f t="shared" si="10"/>
        <v>0</v>
      </c>
    </row>
    <row r="32" spans="1:9" x14ac:dyDescent="0.3">
      <c r="A32" s="30" t="s">
        <v>208</v>
      </c>
      <c r="B32" s="293" t="s">
        <v>213</v>
      </c>
      <c r="C32" s="472"/>
      <c r="D32" s="312">
        <v>0</v>
      </c>
      <c r="E32" s="312">
        <v>0</v>
      </c>
      <c r="F32" s="547">
        <v>0</v>
      </c>
      <c r="G32" s="547">
        <v>0</v>
      </c>
      <c r="H32" s="14">
        <f t="shared" si="9"/>
        <v>0</v>
      </c>
      <c r="I32" s="14">
        <f t="shared" si="10"/>
        <v>0</v>
      </c>
    </row>
    <row r="33" spans="1:9" x14ac:dyDescent="0.3">
      <c r="A33" s="30" t="s">
        <v>209</v>
      </c>
      <c r="B33" s="293" t="s">
        <v>213</v>
      </c>
      <c r="C33" s="472"/>
      <c r="D33" s="312">
        <v>0</v>
      </c>
      <c r="E33" s="312">
        <v>0</v>
      </c>
      <c r="F33" s="547">
        <v>0</v>
      </c>
      <c r="G33" s="547">
        <v>0</v>
      </c>
      <c r="H33" s="14">
        <f t="shared" si="9"/>
        <v>0</v>
      </c>
      <c r="I33" s="14">
        <f t="shared" si="10"/>
        <v>0</v>
      </c>
    </row>
    <row r="34" spans="1:9" x14ac:dyDescent="0.3">
      <c r="A34" s="30" t="s">
        <v>210</v>
      </c>
      <c r="B34" s="293" t="s">
        <v>213</v>
      </c>
      <c r="C34" s="472"/>
      <c r="D34" s="312">
        <v>70</v>
      </c>
      <c r="E34" s="312">
        <v>70</v>
      </c>
      <c r="F34" s="547">
        <v>110</v>
      </c>
      <c r="G34" s="547">
        <v>110</v>
      </c>
      <c r="H34" s="14">
        <f t="shared" si="9"/>
        <v>90</v>
      </c>
      <c r="I34" s="14">
        <f t="shared" si="10"/>
        <v>360</v>
      </c>
    </row>
    <row r="35" spans="1:9" x14ac:dyDescent="0.3">
      <c r="A35" s="30" t="s">
        <v>211</v>
      </c>
      <c r="B35" s="293" t="s">
        <v>213</v>
      </c>
      <c r="C35" s="472"/>
      <c r="D35" s="312">
        <v>0</v>
      </c>
      <c r="E35" s="312">
        <v>0</v>
      </c>
      <c r="F35" s="547">
        <v>0</v>
      </c>
      <c r="G35" s="547">
        <v>0</v>
      </c>
      <c r="H35" s="14">
        <f t="shared" si="9"/>
        <v>0</v>
      </c>
      <c r="I35" s="14">
        <f t="shared" si="10"/>
        <v>0</v>
      </c>
    </row>
    <row r="36" spans="1:9" x14ac:dyDescent="0.3">
      <c r="A36" s="577" t="s">
        <v>487</v>
      </c>
      <c r="B36" s="569" t="s">
        <v>213</v>
      </c>
      <c r="C36" s="472"/>
      <c r="D36" s="578">
        <v>357</v>
      </c>
      <c r="E36" s="578">
        <v>408</v>
      </c>
      <c r="F36" s="578">
        <v>561</v>
      </c>
      <c r="G36" s="578">
        <v>612</v>
      </c>
      <c r="H36" s="585">
        <f t="shared" si="9"/>
        <v>484.5</v>
      </c>
      <c r="I36" s="579">
        <f t="shared" si="10"/>
        <v>1938</v>
      </c>
    </row>
    <row r="37" spans="1:9" x14ac:dyDescent="0.3">
      <c r="A37" s="577" t="s">
        <v>488</v>
      </c>
      <c r="B37" s="569" t="s">
        <v>213</v>
      </c>
      <c r="C37" s="472"/>
      <c r="D37" s="578">
        <v>360</v>
      </c>
      <c r="E37" s="578">
        <v>432</v>
      </c>
      <c r="F37" s="578">
        <v>576</v>
      </c>
      <c r="G37" s="578">
        <v>648</v>
      </c>
      <c r="H37" s="585">
        <f t="shared" si="9"/>
        <v>504</v>
      </c>
      <c r="I37" s="579">
        <f t="shared" si="10"/>
        <v>2016</v>
      </c>
    </row>
    <row r="38" spans="1:9" x14ac:dyDescent="0.3">
      <c r="A38" s="116" t="s">
        <v>309</v>
      </c>
      <c r="B38" s="310"/>
      <c r="C38" s="499"/>
      <c r="D38" s="297">
        <f>SUM(D39:D52)</f>
        <v>8364.5</v>
      </c>
      <c r="E38" s="297">
        <f t="shared" ref="E38:G38" si="11">SUM(E39:E52)</f>
        <v>8915</v>
      </c>
      <c r="F38" s="297">
        <f t="shared" si="11"/>
        <v>12192.5</v>
      </c>
      <c r="G38" s="297">
        <f t="shared" si="11"/>
        <v>12987</v>
      </c>
      <c r="H38" s="62">
        <f t="shared" si="5"/>
        <v>10614.75</v>
      </c>
      <c r="I38" s="62">
        <f t="shared" si="6"/>
        <v>42459</v>
      </c>
    </row>
    <row r="39" spans="1:9" x14ac:dyDescent="0.3">
      <c r="A39" s="30" t="s">
        <v>207</v>
      </c>
      <c r="B39" s="293" t="s">
        <v>212</v>
      </c>
      <c r="C39" s="472"/>
      <c r="D39" s="312">
        <v>0</v>
      </c>
      <c r="E39" s="312">
        <v>0</v>
      </c>
      <c r="F39" s="547">
        <v>0</v>
      </c>
      <c r="G39" s="547">
        <v>0</v>
      </c>
      <c r="H39" s="10">
        <f t="shared" si="5"/>
        <v>0</v>
      </c>
      <c r="I39" s="10">
        <f t="shared" si="6"/>
        <v>0</v>
      </c>
    </row>
    <row r="40" spans="1:9" x14ac:dyDescent="0.3">
      <c r="A40" s="30" t="s">
        <v>208</v>
      </c>
      <c r="B40" s="293" t="s">
        <v>212</v>
      </c>
      <c r="C40" s="472"/>
      <c r="D40" s="312">
        <v>0</v>
      </c>
      <c r="E40" s="312">
        <v>0</v>
      </c>
      <c r="F40" s="547">
        <v>0</v>
      </c>
      <c r="G40" s="547">
        <v>0</v>
      </c>
      <c r="H40" s="14">
        <f t="shared" si="5"/>
        <v>0</v>
      </c>
      <c r="I40" s="14">
        <f t="shared" si="6"/>
        <v>0</v>
      </c>
    </row>
    <row r="41" spans="1:9" x14ac:dyDescent="0.3">
      <c r="A41" s="30" t="s">
        <v>209</v>
      </c>
      <c r="B41" s="293" t="s">
        <v>212</v>
      </c>
      <c r="C41" s="472"/>
      <c r="D41" s="312">
        <v>0</v>
      </c>
      <c r="E41" s="312">
        <v>0</v>
      </c>
      <c r="F41" s="547">
        <v>0</v>
      </c>
      <c r="G41" s="547">
        <v>0</v>
      </c>
      <c r="H41" s="14">
        <f t="shared" si="5"/>
        <v>0</v>
      </c>
      <c r="I41" s="14">
        <f t="shared" si="6"/>
        <v>0</v>
      </c>
    </row>
    <row r="42" spans="1:9" x14ac:dyDescent="0.3">
      <c r="A42" s="30" t="s">
        <v>210</v>
      </c>
      <c r="B42" s="293" t="s">
        <v>212</v>
      </c>
      <c r="C42" s="472"/>
      <c r="D42" s="312">
        <v>320</v>
      </c>
      <c r="E42" s="312">
        <v>320</v>
      </c>
      <c r="F42" s="547">
        <v>440</v>
      </c>
      <c r="G42" s="547">
        <v>480</v>
      </c>
      <c r="H42" s="14">
        <f t="shared" si="5"/>
        <v>390</v>
      </c>
      <c r="I42" s="14">
        <f t="shared" si="6"/>
        <v>1560</v>
      </c>
    </row>
    <row r="43" spans="1:9" x14ac:dyDescent="0.3">
      <c r="A43" s="577" t="s">
        <v>211</v>
      </c>
      <c r="B43" s="569" t="s">
        <v>212</v>
      </c>
      <c r="C43" s="472"/>
      <c r="D43" s="578">
        <v>0</v>
      </c>
      <c r="E43" s="578">
        <v>0</v>
      </c>
      <c r="F43" s="578">
        <v>0</v>
      </c>
      <c r="G43" s="578">
        <v>0</v>
      </c>
      <c r="H43" s="585">
        <f t="shared" si="5"/>
        <v>0</v>
      </c>
      <c r="I43" s="579">
        <f t="shared" si="6"/>
        <v>0</v>
      </c>
    </row>
    <row r="44" spans="1:9" x14ac:dyDescent="0.3">
      <c r="A44" s="577" t="s">
        <v>487</v>
      </c>
      <c r="B44" s="569" t="s">
        <v>212</v>
      </c>
      <c r="C44" s="472"/>
      <c r="D44" s="578">
        <v>1632</v>
      </c>
      <c r="E44" s="578">
        <v>1632</v>
      </c>
      <c r="F44" s="578">
        <v>2244</v>
      </c>
      <c r="G44" s="578">
        <v>2448</v>
      </c>
      <c r="H44" s="585">
        <f t="shared" ref="H44:H49" si="12">IFERROR(AVERAGE(C44:G44),0)</f>
        <v>1989</v>
      </c>
      <c r="I44" s="579">
        <f t="shared" ref="I44:I49" si="13">SUM(C44:G44)</f>
        <v>7956</v>
      </c>
    </row>
    <row r="45" spans="1:9" x14ac:dyDescent="0.3">
      <c r="A45" s="30" t="s">
        <v>488</v>
      </c>
      <c r="B45" s="569" t="s">
        <v>212</v>
      </c>
      <c r="C45" s="472"/>
      <c r="D45" s="312">
        <v>1188</v>
      </c>
      <c r="E45" s="312">
        <v>1188</v>
      </c>
      <c r="F45" s="547">
        <v>1782</v>
      </c>
      <c r="G45" s="547">
        <v>1782</v>
      </c>
      <c r="H45" s="14">
        <f t="shared" si="12"/>
        <v>1485</v>
      </c>
      <c r="I45" s="14">
        <f t="shared" si="13"/>
        <v>5940</v>
      </c>
    </row>
    <row r="46" spans="1:9" x14ac:dyDescent="0.3">
      <c r="A46" s="30" t="s">
        <v>207</v>
      </c>
      <c r="B46" s="293" t="s">
        <v>213</v>
      </c>
      <c r="C46" s="472"/>
      <c r="D46" s="312">
        <v>0</v>
      </c>
      <c r="E46" s="312">
        <v>0</v>
      </c>
      <c r="F46" s="547">
        <v>0</v>
      </c>
      <c r="G46" s="547">
        <v>0</v>
      </c>
      <c r="H46" s="14">
        <f t="shared" si="12"/>
        <v>0</v>
      </c>
      <c r="I46" s="14">
        <f t="shared" si="13"/>
        <v>0</v>
      </c>
    </row>
    <row r="47" spans="1:9" x14ac:dyDescent="0.3">
      <c r="A47" s="30" t="s">
        <v>208</v>
      </c>
      <c r="B47" s="293" t="s">
        <v>213</v>
      </c>
      <c r="C47" s="472"/>
      <c r="D47" s="312">
        <v>0</v>
      </c>
      <c r="E47" s="312">
        <v>0</v>
      </c>
      <c r="F47" s="547">
        <v>0</v>
      </c>
      <c r="G47" s="547">
        <v>0</v>
      </c>
      <c r="H47" s="14">
        <f t="shared" si="12"/>
        <v>0</v>
      </c>
      <c r="I47" s="14">
        <f t="shared" si="13"/>
        <v>0</v>
      </c>
    </row>
    <row r="48" spans="1:9" x14ac:dyDescent="0.3">
      <c r="A48" s="30" t="s">
        <v>209</v>
      </c>
      <c r="B48" s="293" t="s">
        <v>213</v>
      </c>
      <c r="C48" s="472"/>
      <c r="D48" s="312">
        <v>0</v>
      </c>
      <c r="E48" s="312">
        <v>0</v>
      </c>
      <c r="F48" s="547">
        <v>0</v>
      </c>
      <c r="G48" s="547">
        <v>0</v>
      </c>
      <c r="H48" s="14">
        <f t="shared" si="12"/>
        <v>0</v>
      </c>
      <c r="I48" s="14">
        <f t="shared" si="13"/>
        <v>0</v>
      </c>
    </row>
    <row r="49" spans="1:11" x14ac:dyDescent="0.3">
      <c r="A49" s="30" t="s">
        <v>210</v>
      </c>
      <c r="B49" s="293" t="s">
        <v>213</v>
      </c>
      <c r="C49" s="472"/>
      <c r="D49" s="312">
        <v>540</v>
      </c>
      <c r="E49" s="312">
        <v>570</v>
      </c>
      <c r="F49" s="547">
        <v>810</v>
      </c>
      <c r="G49" s="547">
        <v>840</v>
      </c>
      <c r="H49" s="14">
        <f t="shared" si="12"/>
        <v>690</v>
      </c>
      <c r="I49" s="14">
        <f t="shared" si="13"/>
        <v>2760</v>
      </c>
    </row>
    <row r="50" spans="1:11" x14ac:dyDescent="0.3">
      <c r="A50" s="30" t="s">
        <v>211</v>
      </c>
      <c r="B50" s="293" t="s">
        <v>213</v>
      </c>
      <c r="C50" s="472"/>
      <c r="D50" s="312">
        <v>0</v>
      </c>
      <c r="E50" s="312">
        <v>0</v>
      </c>
      <c r="F50" s="547">
        <v>0</v>
      </c>
      <c r="G50" s="547">
        <v>0</v>
      </c>
      <c r="H50" s="14">
        <f t="shared" si="5"/>
        <v>0</v>
      </c>
      <c r="I50" s="14">
        <f t="shared" si="6"/>
        <v>0</v>
      </c>
    </row>
    <row r="51" spans="1:11" x14ac:dyDescent="0.3">
      <c r="A51" s="577" t="s">
        <v>487</v>
      </c>
      <c r="B51" s="569" t="s">
        <v>212</v>
      </c>
      <c r="C51" s="472"/>
      <c r="D51" s="578">
        <v>2700</v>
      </c>
      <c r="E51" s="578">
        <v>3000</v>
      </c>
      <c r="F51" s="578">
        <v>4050</v>
      </c>
      <c r="G51" s="578">
        <v>4350</v>
      </c>
      <c r="H51" s="585">
        <f t="shared" si="5"/>
        <v>3525</v>
      </c>
      <c r="I51" s="579">
        <f t="shared" si="6"/>
        <v>14100</v>
      </c>
    </row>
    <row r="52" spans="1:11" x14ac:dyDescent="0.3">
      <c r="A52" s="577" t="s">
        <v>488</v>
      </c>
      <c r="B52" s="569" t="s">
        <v>212</v>
      </c>
      <c r="C52" s="472"/>
      <c r="D52" s="578">
        <v>1984.5</v>
      </c>
      <c r="E52" s="578">
        <v>2205</v>
      </c>
      <c r="F52" s="578">
        <v>2866.5</v>
      </c>
      <c r="G52" s="578">
        <v>3087</v>
      </c>
      <c r="H52" s="586">
        <f t="shared" si="5"/>
        <v>2535.75</v>
      </c>
      <c r="I52" s="587">
        <f t="shared" si="6"/>
        <v>10143</v>
      </c>
    </row>
    <row r="53" spans="1:11" s="576" customFormat="1" x14ac:dyDescent="0.3">
      <c r="A53" s="580" t="s">
        <v>489</v>
      </c>
      <c r="B53" s="581"/>
      <c r="C53" s="582"/>
      <c r="D53" s="583">
        <f>SUM(D54:D61)</f>
        <v>680</v>
      </c>
      <c r="E53" s="583">
        <f t="shared" ref="E53:H53" si="14">SUM(E54:E61)</f>
        <v>740</v>
      </c>
      <c r="F53" s="583">
        <f t="shared" si="14"/>
        <v>1411</v>
      </c>
      <c r="G53" s="583">
        <f t="shared" si="14"/>
        <v>1471</v>
      </c>
      <c r="H53" s="584">
        <f t="shared" si="14"/>
        <v>1075.5</v>
      </c>
      <c r="I53" s="584">
        <f t="shared" ref="I53:I62" si="15">IFERROR(AVERAGE(C53:H53),0)</f>
        <v>1075.5</v>
      </c>
      <c r="J53" s="2"/>
      <c r="K53" s="2"/>
    </row>
    <row r="54" spans="1:11" x14ac:dyDescent="0.3">
      <c r="A54" s="577" t="s">
        <v>210</v>
      </c>
      <c r="B54" s="569" t="s">
        <v>212</v>
      </c>
      <c r="C54" s="472"/>
      <c r="D54" s="578">
        <v>140</v>
      </c>
      <c r="E54" s="578">
        <v>140</v>
      </c>
      <c r="F54" s="578">
        <v>280</v>
      </c>
      <c r="G54" s="578">
        <v>280</v>
      </c>
      <c r="H54" s="585">
        <f t="shared" ref="H54:H61" si="16">IFERROR(AVERAGE(C54:G54),0)</f>
        <v>210</v>
      </c>
      <c r="I54" s="579">
        <f t="shared" ref="I54:I61" si="17">SUM(C54:G54)</f>
        <v>840</v>
      </c>
    </row>
    <row r="55" spans="1:11" x14ac:dyDescent="0.3">
      <c r="A55" s="577" t="s">
        <v>211</v>
      </c>
      <c r="B55" s="569" t="s">
        <v>212</v>
      </c>
      <c r="C55" s="472"/>
      <c r="D55" s="578">
        <v>0</v>
      </c>
      <c r="E55" s="578">
        <v>0</v>
      </c>
      <c r="F55" s="578">
        <v>0</v>
      </c>
      <c r="G55" s="578">
        <v>0</v>
      </c>
      <c r="H55" s="585">
        <f t="shared" si="16"/>
        <v>0</v>
      </c>
      <c r="I55" s="579">
        <f t="shared" si="17"/>
        <v>0</v>
      </c>
    </row>
    <row r="56" spans="1:11" x14ac:dyDescent="0.3">
      <c r="A56" s="577" t="s">
        <v>487</v>
      </c>
      <c r="B56" s="569" t="s">
        <v>212</v>
      </c>
      <c r="C56" s="472"/>
      <c r="D56" s="578">
        <v>0</v>
      </c>
      <c r="E56" s="578">
        <v>0</v>
      </c>
      <c r="F56" s="578">
        <v>351</v>
      </c>
      <c r="G56" s="578">
        <v>351</v>
      </c>
      <c r="H56" s="585">
        <f t="shared" si="16"/>
        <v>175.5</v>
      </c>
      <c r="I56" s="579">
        <f t="shared" si="17"/>
        <v>702</v>
      </c>
    </row>
    <row r="57" spans="1:11" x14ac:dyDescent="0.3">
      <c r="A57" s="577" t="s">
        <v>488</v>
      </c>
      <c r="B57" s="569" t="s">
        <v>212</v>
      </c>
      <c r="C57" s="472"/>
      <c r="D57" s="578">
        <v>0</v>
      </c>
      <c r="E57" s="578">
        <v>0</v>
      </c>
      <c r="F57" s="578">
        <v>0</v>
      </c>
      <c r="G57" s="578">
        <v>0</v>
      </c>
      <c r="H57" s="585">
        <f t="shared" si="16"/>
        <v>0</v>
      </c>
      <c r="I57" s="579">
        <f t="shared" si="17"/>
        <v>0</v>
      </c>
    </row>
    <row r="58" spans="1:11" x14ac:dyDescent="0.3">
      <c r="A58" s="577" t="s">
        <v>210</v>
      </c>
      <c r="B58" s="569" t="s">
        <v>213</v>
      </c>
      <c r="C58" s="472"/>
      <c r="D58" s="578">
        <v>240</v>
      </c>
      <c r="E58" s="578">
        <v>300</v>
      </c>
      <c r="F58" s="578">
        <v>480</v>
      </c>
      <c r="G58" s="578">
        <v>540</v>
      </c>
      <c r="H58" s="585">
        <f t="shared" si="16"/>
        <v>390</v>
      </c>
      <c r="I58" s="579">
        <f t="shared" si="17"/>
        <v>1560</v>
      </c>
    </row>
    <row r="59" spans="1:11" x14ac:dyDescent="0.3">
      <c r="A59" s="577" t="s">
        <v>211</v>
      </c>
      <c r="B59" s="569" t="s">
        <v>213</v>
      </c>
      <c r="C59" s="472"/>
      <c r="D59" s="578">
        <v>0</v>
      </c>
      <c r="E59" s="578">
        <v>0</v>
      </c>
      <c r="F59" s="578">
        <v>0</v>
      </c>
      <c r="G59" s="578">
        <v>0</v>
      </c>
      <c r="H59" s="585">
        <f t="shared" si="16"/>
        <v>0</v>
      </c>
      <c r="I59" s="579">
        <f t="shared" si="17"/>
        <v>0</v>
      </c>
    </row>
    <row r="60" spans="1:11" x14ac:dyDescent="0.3">
      <c r="A60" s="577" t="s">
        <v>487</v>
      </c>
      <c r="B60" s="569" t="s">
        <v>213</v>
      </c>
      <c r="C60" s="472"/>
      <c r="D60" s="578">
        <v>300</v>
      </c>
      <c r="E60" s="578">
        <v>300</v>
      </c>
      <c r="F60" s="578">
        <v>300</v>
      </c>
      <c r="G60" s="578">
        <v>300</v>
      </c>
      <c r="H60" s="585">
        <f t="shared" si="16"/>
        <v>300</v>
      </c>
      <c r="I60" s="579">
        <f t="shared" si="17"/>
        <v>1200</v>
      </c>
    </row>
    <row r="61" spans="1:11" x14ac:dyDescent="0.3">
      <c r="A61" s="577" t="s">
        <v>488</v>
      </c>
      <c r="B61" s="569" t="s">
        <v>213</v>
      </c>
      <c r="C61" s="472"/>
      <c r="D61" s="578">
        <v>0</v>
      </c>
      <c r="E61" s="578">
        <v>0</v>
      </c>
      <c r="F61" s="578">
        <v>0</v>
      </c>
      <c r="G61" s="578">
        <v>0</v>
      </c>
      <c r="H61" s="585">
        <f t="shared" si="16"/>
        <v>0</v>
      </c>
      <c r="I61" s="579">
        <f t="shared" si="17"/>
        <v>0</v>
      </c>
    </row>
    <row r="62" spans="1:11" s="576" customFormat="1" x14ac:dyDescent="0.3">
      <c r="A62" s="580" t="s">
        <v>490</v>
      </c>
      <c r="B62" s="581"/>
      <c r="C62" s="582"/>
      <c r="D62" s="583">
        <f>SUM(D63:D70)</f>
        <v>519.5</v>
      </c>
      <c r="E62" s="583">
        <f t="shared" ref="E62:H62" si="18">SUM(E63:E70)</f>
        <v>519.5</v>
      </c>
      <c r="F62" s="583">
        <f t="shared" si="18"/>
        <v>581</v>
      </c>
      <c r="G62" s="583">
        <f t="shared" si="18"/>
        <v>618.5</v>
      </c>
      <c r="H62" s="584">
        <f t="shared" si="18"/>
        <v>559.625</v>
      </c>
      <c r="I62" s="584">
        <f t="shared" si="15"/>
        <v>559.625</v>
      </c>
      <c r="J62" s="2"/>
      <c r="K62" s="2"/>
    </row>
    <row r="63" spans="1:11" x14ac:dyDescent="0.3">
      <c r="A63" s="577" t="s">
        <v>210</v>
      </c>
      <c r="B63" s="569" t="s">
        <v>212</v>
      </c>
      <c r="C63" s="472"/>
      <c r="D63" s="578">
        <v>20</v>
      </c>
      <c r="E63" s="578">
        <v>20</v>
      </c>
      <c r="F63" s="578">
        <v>20</v>
      </c>
      <c r="G63" s="578">
        <v>20</v>
      </c>
      <c r="H63" s="585">
        <f t="shared" ref="H63:H70" si="19">IFERROR(AVERAGE(C63:G63),0)</f>
        <v>20</v>
      </c>
      <c r="I63" s="579">
        <f t="shared" ref="I63:I70" si="20">SUM(C63:G63)</f>
        <v>80</v>
      </c>
    </row>
    <row r="64" spans="1:11" x14ac:dyDescent="0.3">
      <c r="A64" s="577" t="s">
        <v>211</v>
      </c>
      <c r="B64" s="569" t="s">
        <v>212</v>
      </c>
      <c r="C64" s="472"/>
      <c r="D64" s="578">
        <v>0</v>
      </c>
      <c r="E64" s="578">
        <v>0</v>
      </c>
      <c r="F64" s="578">
        <v>0</v>
      </c>
      <c r="G64" s="578">
        <v>0</v>
      </c>
      <c r="H64" s="585">
        <f t="shared" si="19"/>
        <v>0</v>
      </c>
      <c r="I64" s="579">
        <f t="shared" si="20"/>
        <v>0</v>
      </c>
    </row>
    <row r="65" spans="1:11" x14ac:dyDescent="0.3">
      <c r="A65" s="577" t="s">
        <v>487</v>
      </c>
      <c r="B65" s="569" t="s">
        <v>212</v>
      </c>
      <c r="C65" s="472"/>
      <c r="D65" s="578">
        <v>102</v>
      </c>
      <c r="E65" s="578">
        <v>102</v>
      </c>
      <c r="F65" s="578">
        <v>102</v>
      </c>
      <c r="G65" s="578">
        <v>102</v>
      </c>
      <c r="H65" s="585">
        <f t="shared" si="19"/>
        <v>102</v>
      </c>
      <c r="I65" s="579">
        <f t="shared" si="20"/>
        <v>408</v>
      </c>
    </row>
    <row r="66" spans="1:11" x14ac:dyDescent="0.3">
      <c r="A66" s="577" t="s">
        <v>488</v>
      </c>
      <c r="B66" s="569" t="s">
        <v>212</v>
      </c>
      <c r="C66" s="472"/>
      <c r="D66" s="578">
        <v>72</v>
      </c>
      <c r="E66" s="578">
        <v>72</v>
      </c>
      <c r="F66" s="578">
        <v>72</v>
      </c>
      <c r="G66" s="578">
        <v>72</v>
      </c>
      <c r="H66" s="585">
        <f t="shared" si="19"/>
        <v>72</v>
      </c>
      <c r="I66" s="579">
        <f t="shared" si="20"/>
        <v>288</v>
      </c>
    </row>
    <row r="67" spans="1:11" x14ac:dyDescent="0.3">
      <c r="A67" s="577" t="s">
        <v>210</v>
      </c>
      <c r="B67" s="569" t="s">
        <v>213</v>
      </c>
      <c r="C67" s="472"/>
      <c r="D67" s="578">
        <v>30</v>
      </c>
      <c r="E67" s="578">
        <v>30</v>
      </c>
      <c r="F67" s="578">
        <v>37.5</v>
      </c>
      <c r="G67" s="578">
        <v>37.5</v>
      </c>
      <c r="H67" s="585">
        <f t="shared" si="19"/>
        <v>33.75</v>
      </c>
      <c r="I67" s="579">
        <f t="shared" si="20"/>
        <v>135</v>
      </c>
    </row>
    <row r="68" spans="1:11" x14ac:dyDescent="0.3">
      <c r="A68" s="577" t="s">
        <v>211</v>
      </c>
      <c r="B68" s="569" t="s">
        <v>213</v>
      </c>
      <c r="C68" s="472"/>
      <c r="D68" s="578">
        <v>0</v>
      </c>
      <c r="E68" s="578">
        <v>0</v>
      </c>
      <c r="F68" s="578">
        <v>0</v>
      </c>
      <c r="G68" s="578">
        <v>0</v>
      </c>
      <c r="H68" s="585">
        <f t="shared" si="19"/>
        <v>0</v>
      </c>
      <c r="I68" s="579">
        <f t="shared" si="20"/>
        <v>0</v>
      </c>
    </row>
    <row r="69" spans="1:11" x14ac:dyDescent="0.3">
      <c r="A69" s="577" t="s">
        <v>487</v>
      </c>
      <c r="B69" s="569" t="s">
        <v>213</v>
      </c>
      <c r="C69" s="472"/>
      <c r="D69" s="578">
        <v>187.5</v>
      </c>
      <c r="E69" s="578">
        <v>187.5</v>
      </c>
      <c r="F69" s="578">
        <v>187.5</v>
      </c>
      <c r="G69" s="578">
        <v>225</v>
      </c>
      <c r="H69" s="585">
        <f t="shared" si="19"/>
        <v>196.875</v>
      </c>
      <c r="I69" s="579">
        <f t="shared" si="20"/>
        <v>787.5</v>
      </c>
    </row>
    <row r="70" spans="1:11" x14ac:dyDescent="0.3">
      <c r="A70" s="577" t="s">
        <v>488</v>
      </c>
      <c r="B70" s="569" t="s">
        <v>213</v>
      </c>
      <c r="C70" s="472"/>
      <c r="D70" s="578">
        <v>108</v>
      </c>
      <c r="E70" s="578">
        <v>108</v>
      </c>
      <c r="F70" s="578">
        <v>162</v>
      </c>
      <c r="G70" s="578">
        <v>162</v>
      </c>
      <c r="H70" s="585">
        <f t="shared" si="19"/>
        <v>135</v>
      </c>
      <c r="I70" s="579">
        <f t="shared" si="20"/>
        <v>540</v>
      </c>
    </row>
    <row r="71" spans="1:11" s="576" customFormat="1" x14ac:dyDescent="0.3">
      <c r="A71" s="580" t="s">
        <v>491</v>
      </c>
      <c r="B71" s="581"/>
      <c r="C71" s="582"/>
      <c r="D71" s="583">
        <f>SUM(D72:D74)</f>
        <v>97.5</v>
      </c>
      <c r="E71" s="583">
        <f t="shared" ref="E71:H71" si="21">SUM(E72:E74)</f>
        <v>105</v>
      </c>
      <c r="F71" s="583">
        <f t="shared" si="21"/>
        <v>112.5</v>
      </c>
      <c r="G71" s="583">
        <f t="shared" si="21"/>
        <v>120</v>
      </c>
      <c r="H71" s="584">
        <f t="shared" si="21"/>
        <v>108.75</v>
      </c>
      <c r="I71" s="584">
        <f t="shared" ref="I71" si="22">IFERROR(AVERAGE(C71:H71),0)</f>
        <v>108.75</v>
      </c>
      <c r="J71" s="2"/>
      <c r="K71" s="2"/>
    </row>
    <row r="72" spans="1:11" x14ac:dyDescent="0.3">
      <c r="A72" s="30" t="s">
        <v>214</v>
      </c>
      <c r="B72" s="293" t="s">
        <v>212</v>
      </c>
      <c r="C72" s="472"/>
      <c r="D72" s="312">
        <v>78</v>
      </c>
      <c r="E72" s="312">
        <v>84</v>
      </c>
      <c r="F72" s="547">
        <v>90</v>
      </c>
      <c r="G72" s="547">
        <v>96</v>
      </c>
      <c r="H72" s="14">
        <f t="shared" si="5"/>
        <v>87</v>
      </c>
      <c r="I72" s="207">
        <f t="shared" si="6"/>
        <v>348</v>
      </c>
    </row>
    <row r="73" spans="1:11" x14ac:dyDescent="0.3">
      <c r="A73" s="30" t="s">
        <v>492</v>
      </c>
      <c r="B73" s="569" t="s">
        <v>212</v>
      </c>
      <c r="C73" s="472"/>
      <c r="D73" s="312">
        <v>19.5</v>
      </c>
      <c r="E73" s="312">
        <v>21</v>
      </c>
      <c r="F73" s="547">
        <v>22.5</v>
      </c>
      <c r="G73" s="547">
        <v>24</v>
      </c>
      <c r="H73" s="14">
        <f t="shared" ref="H73" si="23">IFERROR(AVERAGE(C73:G73),0)</f>
        <v>21.75</v>
      </c>
      <c r="I73" s="207">
        <f t="shared" ref="I73" si="24">SUM(C73:G73)</f>
        <v>87</v>
      </c>
    </row>
    <row r="74" spans="1:11" x14ac:dyDescent="0.3">
      <c r="A74" s="115" t="s">
        <v>416</v>
      </c>
      <c r="B74" s="53"/>
      <c r="C74" s="506"/>
      <c r="D74" s="314"/>
      <c r="E74" s="314"/>
      <c r="F74" s="314"/>
      <c r="G74" s="314"/>
      <c r="H74" s="226">
        <f t="shared" si="5"/>
        <v>0</v>
      </c>
      <c r="I74" s="226">
        <f t="shared" si="6"/>
        <v>0</v>
      </c>
    </row>
    <row r="75" spans="1:11" x14ac:dyDescent="0.3">
      <c r="A75" s="96" t="s">
        <v>325</v>
      </c>
      <c r="B75" s="311"/>
      <c r="C75" s="476"/>
      <c r="D75" s="19">
        <f>D22+D74</f>
        <v>11132.5</v>
      </c>
      <c r="E75" s="19">
        <f>E22+E74</f>
        <v>11873.5</v>
      </c>
      <c r="F75" s="19">
        <f t="shared" ref="F75" si="25">F22+F74</f>
        <v>16318</v>
      </c>
      <c r="G75" s="19">
        <f>G22+G74</f>
        <v>17340.5</v>
      </c>
      <c r="H75" s="20">
        <f t="shared" si="5"/>
        <v>14166.125</v>
      </c>
      <c r="I75" s="20">
        <f t="shared" si="6"/>
        <v>56664.5</v>
      </c>
    </row>
    <row r="76" spans="1:11" x14ac:dyDescent="0.3">
      <c r="B76" s="28"/>
      <c r="C76" s="13"/>
      <c r="D76" s="13"/>
      <c r="E76" s="13"/>
      <c r="F76" s="13"/>
      <c r="G76" s="13"/>
      <c r="H76" s="13"/>
      <c r="I76" s="13"/>
    </row>
    <row r="77" spans="1:11" ht="26" x14ac:dyDescent="0.3">
      <c r="A77" s="653" t="s">
        <v>326</v>
      </c>
      <c r="B77" s="655" t="s">
        <v>321</v>
      </c>
      <c r="C77" s="3" t="str">
        <f>Annee0</f>
        <v>Année 0</v>
      </c>
      <c r="D77" s="3" t="str">
        <f>Annee1</f>
        <v>Année 1</v>
      </c>
      <c r="E77" s="3" t="str">
        <f>Annee2</f>
        <v>Année 2</v>
      </c>
      <c r="F77" s="516" t="str">
        <f>Annee3</f>
        <v>Année 3</v>
      </c>
      <c r="G77" s="541" t="str">
        <f>Annee4</f>
        <v>Année 4</v>
      </c>
      <c r="H77" s="181" t="s">
        <v>256</v>
      </c>
      <c r="I77" s="4" t="s">
        <v>59</v>
      </c>
    </row>
    <row r="78" spans="1:11" x14ac:dyDescent="0.3">
      <c r="A78" s="654"/>
      <c r="B78" s="656"/>
      <c r="C78" s="304">
        <v>12</v>
      </c>
      <c r="D78" s="77">
        <v>12</v>
      </c>
      <c r="E78" s="77">
        <v>12</v>
      </c>
      <c r="F78" s="77">
        <v>12</v>
      </c>
      <c r="G78" s="183">
        <v>12</v>
      </c>
      <c r="H78" s="78">
        <f>IFERROR(AVERAGE(C78:G78),0)</f>
        <v>12</v>
      </c>
      <c r="I78" s="78">
        <f>SUM(C78:G78)</f>
        <v>60</v>
      </c>
    </row>
    <row r="79" spans="1:11" x14ac:dyDescent="0.3">
      <c r="A79" s="36" t="s">
        <v>60</v>
      </c>
      <c r="B79" s="305"/>
      <c r="C79" s="472"/>
      <c r="D79" s="312">
        <v>95000</v>
      </c>
      <c r="E79" s="312">
        <v>95000</v>
      </c>
      <c r="F79" s="547">
        <v>95000</v>
      </c>
      <c r="G79" s="313">
        <v>95000</v>
      </c>
      <c r="H79" s="10">
        <f>IFERROR(AVERAGE(C79:G79),0)</f>
        <v>95000</v>
      </c>
      <c r="I79" s="10">
        <f>SUM(C79:G79)</f>
        <v>380000</v>
      </c>
    </row>
    <row r="80" spans="1:11" x14ac:dyDescent="0.3">
      <c r="A80" s="96" t="s">
        <v>327</v>
      </c>
      <c r="B80" s="119"/>
      <c r="C80" s="476"/>
      <c r="D80" s="19">
        <f t="shared" ref="D80:G80" si="26">D79</f>
        <v>95000</v>
      </c>
      <c r="E80" s="19">
        <f t="shared" si="26"/>
        <v>95000</v>
      </c>
      <c r="F80" s="19">
        <f t="shared" ref="F80" si="27">F79</f>
        <v>95000</v>
      </c>
      <c r="G80" s="35">
        <f t="shared" si="26"/>
        <v>95000</v>
      </c>
      <c r="H80" s="20">
        <f>IFERROR(AVERAGE(C80:G80),0)</f>
        <v>95000</v>
      </c>
      <c r="I80" s="20">
        <f>SUM(C80:G80)</f>
        <v>380000</v>
      </c>
    </row>
    <row r="81" spans="1:9" x14ac:dyDescent="0.3">
      <c r="B81" s="28"/>
      <c r="C81" s="13"/>
      <c r="D81" s="13"/>
      <c r="E81" s="13"/>
      <c r="F81" s="13"/>
      <c r="G81" s="13"/>
      <c r="H81" s="13"/>
      <c r="I81" s="13"/>
    </row>
    <row r="82" spans="1:9" ht="26" x14ac:dyDescent="0.3">
      <c r="A82" s="653" t="s">
        <v>329</v>
      </c>
      <c r="B82" s="655" t="s">
        <v>321</v>
      </c>
      <c r="C82" s="3" t="str">
        <f>Annee0</f>
        <v>Année 0</v>
      </c>
      <c r="D82" s="3" t="str">
        <f>Annee1</f>
        <v>Année 1</v>
      </c>
      <c r="E82" s="3" t="str">
        <f>Annee2</f>
        <v>Année 2</v>
      </c>
      <c r="F82" s="516" t="str">
        <f>Annee3</f>
        <v>Année 3</v>
      </c>
      <c r="G82" s="541" t="str">
        <f>Annee4</f>
        <v>Année 4</v>
      </c>
      <c r="H82" s="181" t="s">
        <v>256</v>
      </c>
      <c r="I82" s="4" t="s">
        <v>59</v>
      </c>
    </row>
    <row r="83" spans="1:9" x14ac:dyDescent="0.3">
      <c r="A83" s="654"/>
      <c r="B83" s="656"/>
      <c r="C83" s="304">
        <v>12</v>
      </c>
      <c r="D83" s="77">
        <v>12</v>
      </c>
      <c r="E83" s="77">
        <v>12</v>
      </c>
      <c r="F83" s="77">
        <v>12</v>
      </c>
      <c r="G83" s="183">
        <v>12</v>
      </c>
      <c r="H83" s="78">
        <f>IFERROR(AVERAGE(C83:G83),0)</f>
        <v>12</v>
      </c>
      <c r="I83" s="78">
        <f>SUM(C83:G83)</f>
        <v>60</v>
      </c>
    </row>
    <row r="84" spans="1:9" x14ac:dyDescent="0.3">
      <c r="A84" s="36" t="s">
        <v>8</v>
      </c>
      <c r="B84" s="305"/>
      <c r="C84" s="472"/>
      <c r="D84" s="312">
        <v>0</v>
      </c>
      <c r="E84" s="312">
        <v>0</v>
      </c>
      <c r="F84" s="547">
        <v>0</v>
      </c>
      <c r="G84" s="313">
        <v>0</v>
      </c>
      <c r="H84" s="14">
        <f>IFERROR(AVERAGE(C84:G84),0)</f>
        <v>0</v>
      </c>
      <c r="I84" s="207">
        <f>SUM(C84:G84)</f>
        <v>0</v>
      </c>
    </row>
    <row r="85" spans="1:9" x14ac:dyDescent="0.3">
      <c r="A85" s="36" t="s">
        <v>61</v>
      </c>
      <c r="B85" s="305"/>
      <c r="C85" s="472"/>
      <c r="D85" s="316">
        <v>0</v>
      </c>
      <c r="E85" s="316">
        <v>0</v>
      </c>
      <c r="F85" s="547">
        <v>0</v>
      </c>
      <c r="G85" s="313">
        <v>0</v>
      </c>
      <c r="H85" s="14">
        <f>IFERROR(AVERAGE(C85:G85),0)</f>
        <v>0</v>
      </c>
      <c r="I85" s="207">
        <f>SUM(C85:G85)</f>
        <v>0</v>
      </c>
    </row>
    <row r="86" spans="1:9" x14ac:dyDescent="0.3">
      <c r="A86" s="96" t="s">
        <v>328</v>
      </c>
      <c r="B86" s="119"/>
      <c r="C86" s="476"/>
      <c r="D86" s="19">
        <f>SUM(D84:D85)</f>
        <v>0</v>
      </c>
      <c r="E86" s="19">
        <f>SUM(E84:E85)</f>
        <v>0</v>
      </c>
      <c r="F86" s="19">
        <f>SUM(F84:F85)</f>
        <v>0</v>
      </c>
      <c r="G86" s="35">
        <f>SUM(G84:G85)</f>
        <v>0</v>
      </c>
      <c r="H86" s="20">
        <f>IFERROR(AVERAGE(C86:G86),0)</f>
        <v>0</v>
      </c>
      <c r="I86" s="20">
        <f>SUM(C86:G86)</f>
        <v>0</v>
      </c>
    </row>
    <row r="87" spans="1:9" x14ac:dyDescent="0.3">
      <c r="B87" s="28"/>
      <c r="C87" s="13"/>
      <c r="D87" s="13"/>
      <c r="E87" s="13"/>
      <c r="F87" s="13"/>
      <c r="G87" s="13"/>
      <c r="H87" s="13"/>
      <c r="I87" s="13"/>
    </row>
    <row r="89" spans="1:9" x14ac:dyDescent="0.3">
      <c r="C89" s="138"/>
      <c r="D89" s="138"/>
      <c r="E89" s="138"/>
      <c r="F89" s="138"/>
      <c r="G89" s="138"/>
    </row>
  </sheetData>
  <mergeCells count="9">
    <mergeCell ref="A82:A83"/>
    <mergeCell ref="B82:B83"/>
    <mergeCell ref="A20:A21"/>
    <mergeCell ref="B20:B21"/>
    <mergeCell ref="A1:I1"/>
    <mergeCell ref="A77:A78"/>
    <mergeCell ref="B77:B78"/>
    <mergeCell ref="A5:A6"/>
    <mergeCell ref="B5:B6"/>
  </mergeCells>
  <printOptions horizontalCentered="1"/>
  <pageMargins left="0.70866141732283472" right="0.70866141732283472" top="0.74803149606299213" bottom="0.74803149606299213" header="0.31496062992125984" footer="0.31496062992125984"/>
  <pageSetup paperSize="9" scale="43" fitToHeight="2" orientation="landscape" r:id="rId1"/>
  <headerFooter>
    <oddHeader>&amp;L&amp;F&amp;R&amp;A</oddHeader>
    <oddFooter>&amp;L&amp;D&amp;C&amp;P/&amp;N&amp;R&amp;T</oddFooter>
  </headerFooter>
  <ignoredErrors>
    <ignoredError sqref="D86:E86 G8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fitToPage="1"/>
  </sheetPr>
  <dimension ref="A1:P32"/>
  <sheetViews>
    <sheetView showGridLines="0" zoomScale="85" zoomScaleNormal="85" workbookViewId="0">
      <selection sqref="A1:N1"/>
    </sheetView>
  </sheetViews>
  <sheetFormatPr baseColWidth="10" defaultColWidth="11.26953125" defaultRowHeight="13" x14ac:dyDescent="0.3"/>
  <cols>
    <col min="1" max="1" width="34.7265625" style="2" customWidth="1"/>
    <col min="2" max="2" width="11" style="17" customWidth="1"/>
    <col min="3" max="9" width="11" style="28" customWidth="1"/>
    <col min="10" max="10" width="6.7265625" style="28" customWidth="1"/>
    <col min="11" max="14" width="11" style="28" customWidth="1"/>
    <col min="15" max="15" width="11.26953125" style="2"/>
    <col min="16" max="16" width="27.453125" style="2" bestFit="1" customWidth="1"/>
    <col min="17" max="16384" width="11.26953125" style="2"/>
  </cols>
  <sheetData>
    <row r="1" spans="1:16" ht="25.4" customHeight="1" x14ac:dyDescent="0.3">
      <c r="A1" s="658" t="s">
        <v>179</v>
      </c>
      <c r="B1" s="664"/>
      <c r="C1" s="664"/>
      <c r="D1" s="664"/>
      <c r="E1" s="664"/>
      <c r="F1" s="664"/>
      <c r="G1" s="664"/>
      <c r="H1" s="664"/>
      <c r="I1" s="664"/>
      <c r="J1" s="664"/>
      <c r="K1" s="664"/>
      <c r="L1" s="664"/>
      <c r="M1" s="664"/>
      <c r="N1" s="665"/>
      <c r="O1" s="1"/>
    </row>
    <row r="3" spans="1:16" customFormat="1" ht="14.5" x14ac:dyDescent="0.35"/>
    <row r="4" spans="1:16" ht="13.15" customHeight="1" x14ac:dyDescent="0.35">
      <c r="A4" s="668" t="s">
        <v>197</v>
      </c>
      <c r="B4" s="655" t="s">
        <v>0</v>
      </c>
      <c r="C4" s="3">
        <v>2017</v>
      </c>
      <c r="D4" s="3">
        <v>2018</v>
      </c>
      <c r="E4" s="3">
        <v>2019</v>
      </c>
      <c r="F4" s="3">
        <v>2020</v>
      </c>
      <c r="G4" s="3">
        <v>2021</v>
      </c>
      <c r="H4" s="3">
        <v>2022</v>
      </c>
      <c r="I4" s="121">
        <v>2023</v>
      </c>
      <c r="J4"/>
      <c r="K4" s="181" t="s">
        <v>280</v>
      </c>
      <c r="L4" s="181" t="s">
        <v>281</v>
      </c>
      <c r="M4" s="181" t="s">
        <v>256</v>
      </c>
      <c r="N4" s="4" t="s">
        <v>59</v>
      </c>
      <c r="P4" s="661" t="s">
        <v>290</v>
      </c>
    </row>
    <row r="5" spans="1:16" ht="25.15" customHeight="1" x14ac:dyDescent="0.35">
      <c r="A5" s="667"/>
      <c r="B5" s="656"/>
      <c r="C5" s="77">
        <v>12</v>
      </c>
      <c r="D5" s="77">
        <v>12</v>
      </c>
      <c r="E5" s="77">
        <v>12</v>
      </c>
      <c r="F5" s="77">
        <v>12</v>
      </c>
      <c r="G5" s="77">
        <v>12</v>
      </c>
      <c r="H5" s="77">
        <v>12</v>
      </c>
      <c r="I5" s="183">
        <v>12</v>
      </c>
      <c r="J5"/>
      <c r="K5" s="78">
        <v>12</v>
      </c>
      <c r="L5" s="78">
        <v>12</v>
      </c>
      <c r="M5" s="78">
        <v>12</v>
      </c>
      <c r="N5" s="78">
        <f>SUM(C5:I5)</f>
        <v>84</v>
      </c>
      <c r="P5" s="662"/>
    </row>
    <row r="6" spans="1:16" s="5" customFormat="1" ht="14.5" x14ac:dyDescent="0.35">
      <c r="A6" s="7" t="s">
        <v>62</v>
      </c>
      <c r="B6" s="8"/>
      <c r="C6" s="9"/>
      <c r="D6" s="9"/>
      <c r="E6" s="9">
        <v>1992.4285416666669</v>
      </c>
      <c r="F6" s="9">
        <v>6276.1499062499997</v>
      </c>
      <c r="G6" s="9">
        <v>6589.9574015624994</v>
      </c>
      <c r="H6" s="9">
        <v>6919.4552716406251</v>
      </c>
      <c r="I6" s="184">
        <v>7265.428035222656</v>
      </c>
      <c r="J6"/>
      <c r="K6" s="10" t="str">
        <f>IFERROR(AVERAGE(C6:D6),"")</f>
        <v/>
      </c>
      <c r="L6" s="10">
        <f t="shared" ref="L6" si="0">IFERROR(AVERAGE(E6:I6),"")</f>
        <v>5808.6838312684895</v>
      </c>
      <c r="M6" s="10">
        <f t="shared" ref="M6" si="1">IFERROR(AVERAGE(C6:I6),"")</f>
        <v>5808.6838312684895</v>
      </c>
      <c r="N6" s="10">
        <f>SUM(C6:I6)</f>
        <v>29043.419156342447</v>
      </c>
      <c r="P6" s="188"/>
    </row>
    <row r="7" spans="1:16" ht="14.5" x14ac:dyDescent="0.35">
      <c r="A7" s="109" t="s">
        <v>63</v>
      </c>
      <c r="B7" s="15"/>
      <c r="C7" s="106"/>
      <c r="D7" s="106"/>
      <c r="E7" s="106"/>
      <c r="F7" s="106"/>
      <c r="G7" s="106"/>
      <c r="H7" s="106"/>
      <c r="I7" s="185"/>
      <c r="J7"/>
      <c r="K7" s="202"/>
      <c r="L7" s="16"/>
      <c r="M7" s="203"/>
      <c r="N7" s="16">
        <f>SUM(C7:I7)</f>
        <v>0</v>
      </c>
      <c r="P7" s="189"/>
    </row>
    <row r="8" spans="1:16" ht="14.5" x14ac:dyDescent="0.35">
      <c r="A8" s="18" t="s">
        <v>203</v>
      </c>
      <c r="B8" s="68"/>
      <c r="C8" s="19">
        <f>C6+C7</f>
        <v>0</v>
      </c>
      <c r="D8" s="19">
        <f t="shared" ref="D8:N8" si="2">D6+D7</f>
        <v>0</v>
      </c>
      <c r="E8" s="19">
        <f t="shared" si="2"/>
        <v>1992.4285416666669</v>
      </c>
      <c r="F8" s="19">
        <f t="shared" si="2"/>
        <v>6276.1499062499997</v>
      </c>
      <c r="G8" s="19">
        <f t="shared" si="2"/>
        <v>6589.9574015624994</v>
      </c>
      <c r="H8" s="19">
        <f t="shared" si="2"/>
        <v>6919.4552716406251</v>
      </c>
      <c r="I8" s="35">
        <f t="shared" si="2"/>
        <v>7265.428035222656</v>
      </c>
      <c r="J8"/>
      <c r="K8" s="60" t="e">
        <f>K6+K7</f>
        <v>#VALUE!</v>
      </c>
      <c r="L8" s="20">
        <f t="shared" si="2"/>
        <v>5808.6838312684895</v>
      </c>
      <c r="M8" s="35">
        <f t="shared" si="2"/>
        <v>5808.6838312684895</v>
      </c>
      <c r="N8" s="35">
        <f t="shared" si="2"/>
        <v>29043.419156342447</v>
      </c>
      <c r="P8" s="190"/>
    </row>
    <row r="9" spans="1:16" ht="14.5" x14ac:dyDescent="0.35">
      <c r="C9" s="13"/>
      <c r="D9" s="13"/>
      <c r="E9" s="13"/>
      <c r="F9" s="13"/>
      <c r="G9" s="13"/>
      <c r="H9" s="13"/>
      <c r="I9" s="13"/>
      <c r="J9"/>
      <c r="K9" s="13"/>
      <c r="L9" s="13"/>
      <c r="M9" s="13"/>
      <c r="N9" s="13"/>
    </row>
    <row r="10" spans="1:16" ht="14.5" x14ac:dyDescent="0.35">
      <c r="C10" s="13"/>
      <c r="D10" s="13"/>
      <c r="E10" s="13"/>
      <c r="F10" s="13"/>
      <c r="G10" s="13"/>
      <c r="H10" s="13"/>
      <c r="I10" s="13"/>
      <c r="J10"/>
      <c r="K10" s="13"/>
      <c r="L10" s="13"/>
      <c r="M10" s="13"/>
      <c r="N10" s="13"/>
      <c r="P10"/>
    </row>
    <row r="11" spans="1:16" ht="27.65" customHeight="1" x14ac:dyDescent="0.35">
      <c r="A11" s="668" t="s">
        <v>194</v>
      </c>
      <c r="B11" s="655" t="s">
        <v>0</v>
      </c>
      <c r="C11" s="3">
        <v>2017</v>
      </c>
      <c r="D11" s="3">
        <v>2018</v>
      </c>
      <c r="E11" s="3">
        <v>2019</v>
      </c>
      <c r="F11" s="3">
        <v>2020</v>
      </c>
      <c r="G11" s="3">
        <v>2021</v>
      </c>
      <c r="H11" s="3">
        <v>2022</v>
      </c>
      <c r="I11" s="121">
        <v>2023</v>
      </c>
      <c r="J11"/>
      <c r="K11" s="181" t="s">
        <v>280</v>
      </c>
      <c r="L11" s="181" t="s">
        <v>281</v>
      </c>
      <c r="M11" s="181" t="s">
        <v>256</v>
      </c>
      <c r="N11" s="4" t="s">
        <v>59</v>
      </c>
      <c r="P11" s="663" t="s">
        <v>290</v>
      </c>
    </row>
    <row r="12" spans="1:16" ht="14.5" x14ac:dyDescent="0.35">
      <c r="A12" s="667"/>
      <c r="B12" s="656"/>
      <c r="C12" s="77">
        <v>12</v>
      </c>
      <c r="D12" s="77">
        <v>12</v>
      </c>
      <c r="E12" s="77">
        <v>12</v>
      </c>
      <c r="F12" s="77">
        <v>12</v>
      </c>
      <c r="G12" s="77">
        <v>12</v>
      </c>
      <c r="H12" s="77">
        <v>12</v>
      </c>
      <c r="I12" s="183">
        <v>12</v>
      </c>
      <c r="J12"/>
      <c r="K12" s="78">
        <v>12</v>
      </c>
      <c r="L12" s="78">
        <v>12</v>
      </c>
      <c r="M12" s="78">
        <v>12</v>
      </c>
      <c r="N12" s="78">
        <f>SUM(C12:I12)</f>
        <v>84</v>
      </c>
      <c r="P12" s="663"/>
    </row>
    <row r="13" spans="1:16" s="5" customFormat="1" ht="14.5" x14ac:dyDescent="0.35">
      <c r="A13" s="21" t="s">
        <v>193</v>
      </c>
      <c r="B13" s="153"/>
      <c r="C13" s="110">
        <f>SUM(C14:C16)</f>
        <v>0</v>
      </c>
      <c r="D13" s="110">
        <f t="shared" ref="D13:I13" si="3">SUM(D14:D16)</f>
        <v>0</v>
      </c>
      <c r="E13" s="110">
        <f t="shared" si="3"/>
        <v>1854.5733333333335</v>
      </c>
      <c r="F13" s="110">
        <f t="shared" si="3"/>
        <v>5563.7199999999993</v>
      </c>
      <c r="G13" s="110">
        <f t="shared" si="3"/>
        <v>5563.7199999999993</v>
      </c>
      <c r="H13" s="110">
        <f t="shared" si="3"/>
        <v>5563.7199999999993</v>
      </c>
      <c r="I13" s="186">
        <f t="shared" si="3"/>
        <v>5563.7199999999993</v>
      </c>
      <c r="J13"/>
      <c r="K13" s="178">
        <f t="shared" ref="K13:M13" si="4">SUM(K14:K16)</f>
        <v>0</v>
      </c>
      <c r="L13" s="23">
        <f t="shared" si="4"/>
        <v>4821.8906666666662</v>
      </c>
      <c r="M13" s="23">
        <f t="shared" si="4"/>
        <v>4821.8906666666662</v>
      </c>
      <c r="N13" s="179">
        <f>SUM(N14:N16)</f>
        <v>24109.453333333331</v>
      </c>
      <c r="P13" s="189"/>
    </row>
    <row r="14" spans="1:16" ht="14.5" x14ac:dyDescent="0.35">
      <c r="A14" s="25" t="s">
        <v>1</v>
      </c>
      <c r="B14" s="12"/>
      <c r="C14" s="13"/>
      <c r="D14" s="13"/>
      <c r="E14" s="13"/>
      <c r="F14" s="13"/>
      <c r="G14" s="13"/>
      <c r="H14" s="13"/>
      <c r="I14" s="159"/>
      <c r="J14"/>
      <c r="K14" s="208" t="str">
        <f t="shared" ref="K14:K16" si="5">IFERROR(AVERAGE(C14:D14),"")</f>
        <v/>
      </c>
      <c r="L14" s="214" t="str">
        <f t="shared" ref="L14:L16" si="6">IFERROR(AVERAGE(E14:I14),"")</f>
        <v/>
      </c>
      <c r="M14" s="207" t="str">
        <f t="shared" ref="M14:M16" si="7">IFERROR(AVERAGE(C14:I14),"")</f>
        <v/>
      </c>
      <c r="N14" s="207">
        <f t="shared" ref="N14:N16" si="8">SUM(C14:I14)</f>
        <v>0</v>
      </c>
      <c r="P14" s="188"/>
    </row>
    <row r="15" spans="1:16" ht="14.5" x14ac:dyDescent="0.35">
      <c r="A15" s="25" t="s">
        <v>163</v>
      </c>
      <c r="B15" s="12"/>
      <c r="C15" s="13"/>
      <c r="D15" s="13"/>
      <c r="E15" s="13"/>
      <c r="F15" s="13"/>
      <c r="G15" s="13"/>
      <c r="H15" s="13"/>
      <c r="I15" s="159"/>
      <c r="J15"/>
      <c r="K15" s="208" t="str">
        <f t="shared" si="5"/>
        <v/>
      </c>
      <c r="L15" s="214" t="str">
        <f t="shared" si="6"/>
        <v/>
      </c>
      <c r="M15" s="207" t="str">
        <f t="shared" si="7"/>
        <v/>
      </c>
      <c r="N15" s="207">
        <f t="shared" si="8"/>
        <v>0</v>
      </c>
      <c r="P15" s="189"/>
    </row>
    <row r="16" spans="1:16" ht="14.5" x14ac:dyDescent="0.35">
      <c r="A16" s="25" t="s">
        <v>2</v>
      </c>
      <c r="B16" s="12"/>
      <c r="C16" s="259"/>
      <c r="D16" s="259"/>
      <c r="E16" s="264">
        <v>1854.5733333333335</v>
      </c>
      <c r="F16" s="264">
        <v>5563.7199999999993</v>
      </c>
      <c r="G16" s="264">
        <v>5563.7199999999993</v>
      </c>
      <c r="H16" s="264">
        <v>5563.7199999999993</v>
      </c>
      <c r="I16" s="265">
        <v>5563.7199999999993</v>
      </c>
      <c r="J16"/>
      <c r="K16" s="208" t="str">
        <f t="shared" si="5"/>
        <v/>
      </c>
      <c r="L16" s="214">
        <f t="shared" si="6"/>
        <v>4821.8906666666662</v>
      </c>
      <c r="M16" s="207">
        <f t="shared" si="7"/>
        <v>4821.8906666666662</v>
      </c>
      <c r="N16" s="207">
        <f t="shared" si="8"/>
        <v>24109.453333333331</v>
      </c>
      <c r="P16" s="189" t="s">
        <v>295</v>
      </c>
    </row>
    <row r="17" spans="1:16" s="5" customFormat="1" ht="14.5" x14ac:dyDescent="0.35">
      <c r="A17" s="21" t="s">
        <v>195</v>
      </c>
      <c r="B17" s="153"/>
      <c r="C17" s="23">
        <f>SUM(C18:C25)</f>
        <v>0</v>
      </c>
      <c r="D17" s="23">
        <f t="shared" ref="D17:H17" si="9">SUM(D18:D25)</f>
        <v>0</v>
      </c>
      <c r="E17" s="23">
        <f t="shared" si="9"/>
        <v>3791.9382803327971</v>
      </c>
      <c r="F17" s="23">
        <f t="shared" si="9"/>
        <v>11375.814840998442</v>
      </c>
      <c r="G17" s="23">
        <f t="shared" si="9"/>
        <v>11375.814840998442</v>
      </c>
      <c r="H17" s="23">
        <f t="shared" si="9"/>
        <v>11375.814840998442</v>
      </c>
      <c r="I17" s="179">
        <f>SUM(I18:I25)</f>
        <v>11375.814840998441</v>
      </c>
      <c r="J17"/>
      <c r="K17" s="178">
        <f t="shared" ref="K17:M17" si="10">SUM(K18:K25)</f>
        <v>0</v>
      </c>
      <c r="L17" s="23">
        <f t="shared" si="10"/>
        <v>9859.0395288653144</v>
      </c>
      <c r="M17" s="23">
        <f t="shared" si="10"/>
        <v>9859.0395288653144</v>
      </c>
      <c r="N17" s="179">
        <f>SUM(N18:N25)</f>
        <v>49295.197644326567</v>
      </c>
      <c r="P17" s="190"/>
    </row>
    <row r="18" spans="1:16" ht="14.5" x14ac:dyDescent="0.35">
      <c r="A18" s="25" t="s">
        <v>3</v>
      </c>
      <c r="B18" s="12"/>
      <c r="C18" s="13"/>
      <c r="D18" s="13"/>
      <c r="E18" s="13"/>
      <c r="F18" s="13"/>
      <c r="G18" s="13"/>
      <c r="H18" s="13"/>
      <c r="I18" s="159"/>
      <c r="J18"/>
      <c r="K18" s="208" t="str">
        <f t="shared" ref="K18:K25" si="11">IFERROR(AVERAGE(C18:D18),"")</f>
        <v/>
      </c>
      <c r="L18" s="214" t="str">
        <f t="shared" ref="L18:L25" si="12">IFERROR(AVERAGE(E18:I18),"")</f>
        <v/>
      </c>
      <c r="M18" s="207" t="str">
        <f t="shared" ref="M18:M25" si="13">IFERROR(AVERAGE(C18:I18),"")</f>
        <v/>
      </c>
      <c r="N18" s="207">
        <f t="shared" ref="N18:N25" si="14">SUM(C18:I18)</f>
        <v>0</v>
      </c>
      <c r="P18" s="189"/>
    </row>
    <row r="19" spans="1:16" ht="14.5" x14ac:dyDescent="0.35">
      <c r="A19" s="25" t="s">
        <v>162</v>
      </c>
      <c r="B19" s="12"/>
      <c r="C19" s="13"/>
      <c r="D19" s="13"/>
      <c r="E19" s="13"/>
      <c r="F19" s="13"/>
      <c r="G19" s="13"/>
      <c r="H19" s="13"/>
      <c r="I19" s="159"/>
      <c r="J19"/>
      <c r="K19" s="208" t="str">
        <f t="shared" si="11"/>
        <v/>
      </c>
      <c r="L19" s="214" t="str">
        <f t="shared" si="12"/>
        <v/>
      </c>
      <c r="M19" s="207" t="str">
        <f t="shared" si="13"/>
        <v/>
      </c>
      <c r="N19" s="207">
        <f t="shared" si="14"/>
        <v>0</v>
      </c>
      <c r="P19" s="189"/>
    </row>
    <row r="20" spans="1:16" ht="14.5" x14ac:dyDescent="0.35">
      <c r="A20" s="25" t="s">
        <v>4</v>
      </c>
      <c r="B20" s="12"/>
      <c r="C20" s="253"/>
      <c r="D20" s="253"/>
      <c r="E20" s="264">
        <v>126.21890666666667</v>
      </c>
      <c r="F20" s="264">
        <v>378.65672000000001</v>
      </c>
      <c r="G20" s="264">
        <v>378.65672000000001</v>
      </c>
      <c r="H20" s="264">
        <v>378.65672000000001</v>
      </c>
      <c r="I20" s="265">
        <v>378.65671999999995</v>
      </c>
      <c r="J20"/>
      <c r="K20" s="208" t="str">
        <f t="shared" si="11"/>
        <v/>
      </c>
      <c r="L20" s="214">
        <f t="shared" si="12"/>
        <v>328.16915733333332</v>
      </c>
      <c r="M20" s="207">
        <f t="shared" si="13"/>
        <v>328.16915733333332</v>
      </c>
      <c r="N20" s="207">
        <f t="shared" si="14"/>
        <v>1640.8457866666665</v>
      </c>
      <c r="P20" s="189" t="s">
        <v>304</v>
      </c>
    </row>
    <row r="21" spans="1:16" ht="14.5" x14ac:dyDescent="0.35">
      <c r="A21" s="25" t="s">
        <v>5</v>
      </c>
      <c r="B21" s="12"/>
      <c r="C21" s="253"/>
      <c r="D21" s="253"/>
      <c r="E21" s="13"/>
      <c r="F21" s="13"/>
      <c r="G21" s="13"/>
      <c r="H21" s="13"/>
      <c r="I21" s="159"/>
      <c r="J21"/>
      <c r="K21" s="208" t="str">
        <f t="shared" si="11"/>
        <v/>
      </c>
      <c r="L21" s="214" t="str">
        <f t="shared" si="12"/>
        <v/>
      </c>
      <c r="M21" s="207" t="str">
        <f t="shared" si="13"/>
        <v/>
      </c>
      <c r="N21" s="207">
        <f t="shared" si="14"/>
        <v>0</v>
      </c>
      <c r="P21" s="189"/>
    </row>
    <row r="22" spans="1:16" ht="14.5" x14ac:dyDescent="0.35">
      <c r="A22" s="25" t="s">
        <v>172</v>
      </c>
      <c r="B22" s="12"/>
      <c r="C22" s="253"/>
      <c r="D22" s="253"/>
      <c r="E22" s="13"/>
      <c r="F22" s="13"/>
      <c r="G22" s="13"/>
      <c r="H22" s="13"/>
      <c r="I22" s="159"/>
      <c r="J22"/>
      <c r="K22" s="208" t="str">
        <f t="shared" si="11"/>
        <v/>
      </c>
      <c r="L22" s="214" t="str">
        <f t="shared" si="12"/>
        <v/>
      </c>
      <c r="M22" s="207" t="str">
        <f t="shared" si="13"/>
        <v/>
      </c>
      <c r="N22" s="207">
        <f t="shared" si="14"/>
        <v>0</v>
      </c>
      <c r="P22" s="189"/>
    </row>
    <row r="23" spans="1:16" ht="14.5" x14ac:dyDescent="0.35">
      <c r="A23" s="25" t="s">
        <v>178</v>
      </c>
      <c r="B23" s="12"/>
      <c r="C23" s="253"/>
      <c r="D23" s="253"/>
      <c r="E23" s="13"/>
      <c r="F23" s="13"/>
      <c r="G23" s="13"/>
      <c r="H23" s="13"/>
      <c r="I23" s="159"/>
      <c r="J23"/>
      <c r="K23" s="208" t="str">
        <f t="shared" si="11"/>
        <v/>
      </c>
      <c r="L23" s="214" t="str">
        <f t="shared" si="12"/>
        <v/>
      </c>
      <c r="M23" s="207" t="str">
        <f t="shared" si="13"/>
        <v/>
      </c>
      <c r="N23" s="207">
        <f t="shared" si="14"/>
        <v>0</v>
      </c>
      <c r="P23" s="189"/>
    </row>
    <row r="24" spans="1:16" ht="14.5" x14ac:dyDescent="0.35">
      <c r="A24" s="25" t="s">
        <v>6</v>
      </c>
      <c r="B24" s="12"/>
      <c r="C24" s="253"/>
      <c r="D24" s="253"/>
      <c r="E24" s="264">
        <v>3501.2578703554664</v>
      </c>
      <c r="F24" s="264">
        <v>10503.773611066448</v>
      </c>
      <c r="G24" s="264">
        <v>10503.773611066448</v>
      </c>
      <c r="H24" s="264">
        <v>10503.773611066448</v>
      </c>
      <c r="I24" s="265">
        <v>10503.773611066448</v>
      </c>
      <c r="J24"/>
      <c r="K24" s="208" t="str">
        <f t="shared" si="11"/>
        <v/>
      </c>
      <c r="L24" s="214">
        <f t="shared" si="12"/>
        <v>9103.2704629242526</v>
      </c>
      <c r="M24" s="207">
        <f t="shared" si="13"/>
        <v>9103.2704629242526</v>
      </c>
      <c r="N24" s="207">
        <f t="shared" si="14"/>
        <v>45516.352314621261</v>
      </c>
      <c r="P24" s="189" t="s">
        <v>301</v>
      </c>
    </row>
    <row r="25" spans="1:16" s="5" customFormat="1" ht="14.5" x14ac:dyDescent="0.35">
      <c r="A25" s="25" t="s">
        <v>192</v>
      </c>
      <c r="B25" s="12"/>
      <c r="C25" s="253"/>
      <c r="D25" s="253"/>
      <c r="E25" s="264">
        <v>164.46150331066434</v>
      </c>
      <c r="F25" s="264">
        <v>493.38450993199348</v>
      </c>
      <c r="G25" s="264">
        <v>493.38450993199348</v>
      </c>
      <c r="H25" s="264">
        <v>493.38450993199348</v>
      </c>
      <c r="I25" s="265">
        <v>493.38450993199348</v>
      </c>
      <c r="J25"/>
      <c r="K25" s="208" t="str">
        <f t="shared" si="11"/>
        <v/>
      </c>
      <c r="L25" s="214">
        <f t="shared" si="12"/>
        <v>427.59990860772768</v>
      </c>
      <c r="M25" s="207">
        <f t="shared" si="13"/>
        <v>427.59990860772768</v>
      </c>
      <c r="N25" s="207">
        <f t="shared" si="14"/>
        <v>2137.9995430386384</v>
      </c>
      <c r="P25" s="189"/>
    </row>
    <row r="26" spans="1:16" ht="14.5" x14ac:dyDescent="0.35">
      <c r="A26" s="21" t="s">
        <v>196</v>
      </c>
      <c r="B26" s="151"/>
      <c r="C26" s="23"/>
      <c r="D26" s="23"/>
      <c r="E26" s="23"/>
      <c r="F26" s="23"/>
      <c r="G26" s="23"/>
      <c r="H26" s="23"/>
      <c r="I26" s="179"/>
      <c r="J26"/>
      <c r="K26" s="178"/>
      <c r="L26" s="23"/>
      <c r="M26" s="179"/>
      <c r="N26" s="179"/>
      <c r="P26" s="190"/>
    </row>
    <row r="27" spans="1:16" ht="14.5" x14ac:dyDescent="0.35">
      <c r="A27" s="18" t="s">
        <v>204</v>
      </c>
      <c r="B27" s="57"/>
      <c r="C27" s="19">
        <f>C13+C17+C26</f>
        <v>0</v>
      </c>
      <c r="D27" s="19">
        <f t="shared" ref="D27:I27" si="15">D13+D17+D26</f>
        <v>0</v>
      </c>
      <c r="E27" s="19">
        <f t="shared" si="15"/>
        <v>5646.5116136661309</v>
      </c>
      <c r="F27" s="19">
        <f t="shared" si="15"/>
        <v>16939.534840998444</v>
      </c>
      <c r="G27" s="19">
        <f t="shared" si="15"/>
        <v>16939.534840998444</v>
      </c>
      <c r="H27" s="19">
        <f t="shared" si="15"/>
        <v>16939.534840998444</v>
      </c>
      <c r="I27" s="35">
        <f t="shared" si="15"/>
        <v>16939.53484099844</v>
      </c>
      <c r="J27"/>
      <c r="K27" s="60">
        <f t="shared" ref="K27:M27" si="16">K13+K17+K26</f>
        <v>0</v>
      </c>
      <c r="L27" s="19">
        <f t="shared" si="16"/>
        <v>14680.930195531981</v>
      </c>
      <c r="M27" s="35">
        <f t="shared" si="16"/>
        <v>14680.930195531981</v>
      </c>
      <c r="N27" s="35">
        <f>N13+N17+N26</f>
        <v>73404.650977659898</v>
      </c>
      <c r="P27" s="190"/>
    </row>
    <row r="28" spans="1:16" ht="14.5" x14ac:dyDescent="0.35">
      <c r="B28" s="2"/>
      <c r="C28" s="2"/>
      <c r="D28" s="2"/>
      <c r="E28" s="2"/>
      <c r="F28" s="2"/>
      <c r="G28" s="2"/>
      <c r="H28" s="2"/>
      <c r="I28" s="2"/>
      <c r="J28"/>
      <c r="K28" s="2"/>
      <c r="L28" s="2"/>
      <c r="M28" s="2"/>
      <c r="N28" s="2"/>
      <c r="P28" s="11"/>
    </row>
    <row r="29" spans="1:16" ht="14.5" x14ac:dyDescent="0.35">
      <c r="A29" s="111" t="s">
        <v>198</v>
      </c>
      <c r="B29" s="112"/>
      <c r="C29" s="238" t="e">
        <f>C25/C27</f>
        <v>#DIV/0!</v>
      </c>
      <c r="D29" s="238" t="e">
        <f t="shared" ref="D29:I29" si="17">D25/D27</f>
        <v>#DIV/0!</v>
      </c>
      <c r="E29" s="238">
        <f t="shared" si="17"/>
        <v>2.912621359223307E-2</v>
      </c>
      <c r="F29" s="238">
        <f t="shared" si="17"/>
        <v>2.9126213592233007E-2</v>
      </c>
      <c r="G29" s="238">
        <f t="shared" si="17"/>
        <v>2.9126213592233007E-2</v>
      </c>
      <c r="H29" s="238">
        <f t="shared" si="17"/>
        <v>2.9126213592233007E-2</v>
      </c>
      <c r="I29" s="239">
        <f t="shared" si="17"/>
        <v>2.9126213592233014E-2</v>
      </c>
      <c r="J29" s="242"/>
      <c r="K29" s="243" t="e">
        <f t="shared" ref="K29:M29" si="18">K25/K27</f>
        <v>#VALUE!</v>
      </c>
      <c r="L29" s="238">
        <f t="shared" si="18"/>
        <v>2.9126213592233018E-2</v>
      </c>
      <c r="M29" s="238">
        <f t="shared" si="18"/>
        <v>2.9126213592233018E-2</v>
      </c>
      <c r="N29" s="241">
        <f>N25/N27</f>
        <v>2.9126213592233018E-2</v>
      </c>
      <c r="P29" s="11"/>
    </row>
    <row r="30" spans="1:16" ht="14.5" x14ac:dyDescent="0.35">
      <c r="J30"/>
    </row>
    <row r="31" spans="1:16" ht="14.5" x14ac:dyDescent="0.35">
      <c r="J31"/>
    </row>
    <row r="32" spans="1:16" ht="14.5" x14ac:dyDescent="0.35">
      <c r="J32"/>
    </row>
  </sheetData>
  <mergeCells count="7">
    <mergeCell ref="P4:P5"/>
    <mergeCell ref="P11:P12"/>
    <mergeCell ref="A1:N1"/>
    <mergeCell ref="A4:A5"/>
    <mergeCell ref="B4:B5"/>
    <mergeCell ref="A11:A12"/>
    <mergeCell ref="B11:B12"/>
  </mergeCells>
  <printOptions horizontalCentered="1"/>
  <pageMargins left="0.70866141732283472" right="0.70866141732283472" top="0.74803149606299213" bottom="0.74803149606299213" header="0.31496062992125984" footer="0.31496062992125984"/>
  <pageSetup paperSize="9" scale="61" orientation="landscape" r:id="rId1"/>
  <headerFooter>
    <oddHeader>&amp;L&amp;F&amp;R&amp;A</oddHeader>
    <oddFooter>&amp;L&amp;D&amp;C&amp;P/&amp;N&amp;R&amp;T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fitToPage="1"/>
  </sheetPr>
  <dimension ref="A1:P33"/>
  <sheetViews>
    <sheetView showGridLines="0" zoomScale="85" zoomScaleNormal="85" workbookViewId="0">
      <selection sqref="A1:N1"/>
    </sheetView>
  </sheetViews>
  <sheetFormatPr baseColWidth="10" defaultColWidth="11.26953125" defaultRowHeight="13" x14ac:dyDescent="0.3"/>
  <cols>
    <col min="1" max="1" width="34.7265625" style="2" customWidth="1"/>
    <col min="2" max="2" width="11" style="17" customWidth="1"/>
    <col min="3" max="9" width="11" style="28" customWidth="1"/>
    <col min="10" max="10" width="6.7265625" style="28" customWidth="1"/>
    <col min="11" max="14" width="11" style="28" customWidth="1"/>
    <col min="15" max="15" width="11.26953125" style="2"/>
    <col min="16" max="16" width="20.26953125" style="2" bestFit="1" customWidth="1"/>
    <col min="17" max="16384" width="11.26953125" style="2"/>
  </cols>
  <sheetData>
    <row r="1" spans="1:16" ht="25.4" customHeight="1" x14ac:dyDescent="0.3">
      <c r="A1" s="658" t="s">
        <v>168</v>
      </c>
      <c r="B1" s="664"/>
      <c r="C1" s="664"/>
      <c r="D1" s="664"/>
      <c r="E1" s="664"/>
      <c r="F1" s="664"/>
      <c r="G1" s="664"/>
      <c r="H1" s="664"/>
      <c r="I1" s="664"/>
      <c r="J1" s="664"/>
      <c r="K1" s="664"/>
      <c r="L1" s="664"/>
      <c r="M1" s="664"/>
      <c r="N1" s="665"/>
      <c r="O1" s="1"/>
    </row>
    <row r="3" spans="1:16" customFormat="1" ht="14.5" x14ac:dyDescent="0.35"/>
    <row r="4" spans="1:16" ht="13.15" customHeight="1" x14ac:dyDescent="0.35">
      <c r="A4" s="668" t="s">
        <v>197</v>
      </c>
      <c r="B4" s="655" t="s">
        <v>0</v>
      </c>
      <c r="C4" s="3">
        <v>2017</v>
      </c>
      <c r="D4" s="3">
        <v>2018</v>
      </c>
      <c r="E4" s="3">
        <v>2019</v>
      </c>
      <c r="F4" s="3">
        <v>2020</v>
      </c>
      <c r="G4" s="3">
        <v>2021</v>
      </c>
      <c r="H4" s="3">
        <v>2022</v>
      </c>
      <c r="I4" s="121">
        <v>2023</v>
      </c>
      <c r="J4"/>
      <c r="K4" s="181" t="s">
        <v>280</v>
      </c>
      <c r="L4" s="181" t="s">
        <v>281</v>
      </c>
      <c r="M4" s="181" t="s">
        <v>256</v>
      </c>
      <c r="N4" s="4" t="s">
        <v>59</v>
      </c>
      <c r="P4" s="661" t="s">
        <v>290</v>
      </c>
    </row>
    <row r="5" spans="1:16" ht="22.9" customHeight="1" x14ac:dyDescent="0.35">
      <c r="A5" s="667"/>
      <c r="B5" s="656"/>
      <c r="C5" s="77">
        <v>12</v>
      </c>
      <c r="D5" s="77">
        <v>12</v>
      </c>
      <c r="E5" s="77">
        <v>12</v>
      </c>
      <c r="F5" s="77">
        <v>12</v>
      </c>
      <c r="G5" s="77">
        <v>12</v>
      </c>
      <c r="H5" s="77">
        <v>12</v>
      </c>
      <c r="I5" s="183">
        <v>12</v>
      </c>
      <c r="J5"/>
      <c r="K5" s="78">
        <v>12</v>
      </c>
      <c r="L5" s="78">
        <v>12</v>
      </c>
      <c r="M5" s="78">
        <v>12</v>
      </c>
      <c r="N5" s="78">
        <f>SUM(C5:I5)</f>
        <v>84</v>
      </c>
      <c r="P5" s="662"/>
    </row>
    <row r="6" spans="1:16" s="5" customFormat="1" ht="14.5" x14ac:dyDescent="0.35">
      <c r="A6" s="7" t="s">
        <v>62</v>
      </c>
      <c r="B6" s="8"/>
      <c r="C6" s="9"/>
      <c r="D6" s="9"/>
      <c r="E6" s="9"/>
      <c r="F6" s="9"/>
      <c r="G6" s="9"/>
      <c r="H6" s="9"/>
      <c r="I6" s="184"/>
      <c r="J6"/>
      <c r="K6" s="10"/>
      <c r="L6" s="10"/>
      <c r="M6" s="10"/>
      <c r="N6" s="10">
        <f>SUM(C6:I6)</f>
        <v>0</v>
      </c>
      <c r="P6" s="188"/>
    </row>
    <row r="7" spans="1:16" ht="14.5" x14ac:dyDescent="0.35">
      <c r="A7" s="109" t="s">
        <v>63</v>
      </c>
      <c r="B7" s="15"/>
      <c r="C7" s="106"/>
      <c r="D7" s="106"/>
      <c r="E7" s="106"/>
      <c r="F7" s="106"/>
      <c r="G7" s="106"/>
      <c r="H7" s="106"/>
      <c r="I7" s="185"/>
      <c r="J7"/>
      <c r="K7" s="202"/>
      <c r="L7" s="16"/>
      <c r="M7" s="203"/>
      <c r="N7" s="16">
        <f>SUM(C7:I7)</f>
        <v>0</v>
      </c>
      <c r="P7" s="189"/>
    </row>
    <row r="8" spans="1:16" ht="14.5" x14ac:dyDescent="0.35">
      <c r="A8" s="18" t="s">
        <v>203</v>
      </c>
      <c r="B8" s="68"/>
      <c r="C8" s="19">
        <f>C6+C7</f>
        <v>0</v>
      </c>
      <c r="D8" s="19">
        <f t="shared" ref="D8:I8" si="0">D6+D7</f>
        <v>0</v>
      </c>
      <c r="E8" s="19">
        <f t="shared" si="0"/>
        <v>0</v>
      </c>
      <c r="F8" s="19">
        <f t="shared" si="0"/>
        <v>0</v>
      </c>
      <c r="G8" s="19">
        <f t="shared" si="0"/>
        <v>0</v>
      </c>
      <c r="H8" s="19">
        <f t="shared" si="0"/>
        <v>0</v>
      </c>
      <c r="I8" s="35">
        <f t="shared" si="0"/>
        <v>0</v>
      </c>
      <c r="J8"/>
      <c r="K8" s="60">
        <f>K6+K7</f>
        <v>0</v>
      </c>
      <c r="L8" s="20">
        <f t="shared" ref="L8:N8" si="1">L6+L7</f>
        <v>0</v>
      </c>
      <c r="M8" s="35">
        <f t="shared" si="1"/>
        <v>0</v>
      </c>
      <c r="N8" s="35">
        <f t="shared" si="1"/>
        <v>0</v>
      </c>
      <c r="P8" s="190"/>
    </row>
    <row r="9" spans="1:16" ht="14.5" x14ac:dyDescent="0.35">
      <c r="C9" s="13"/>
      <c r="D9" s="13"/>
      <c r="E9" s="13"/>
      <c r="F9" s="13"/>
      <c r="G9" s="13"/>
      <c r="H9" s="13"/>
      <c r="I9" s="13"/>
      <c r="J9"/>
      <c r="K9" s="13"/>
      <c r="L9" s="13"/>
      <c r="M9" s="13"/>
      <c r="N9" s="13"/>
    </row>
    <row r="10" spans="1:16" ht="14.5" x14ac:dyDescent="0.35">
      <c r="C10" s="13"/>
      <c r="D10" s="13"/>
      <c r="E10" s="13"/>
      <c r="F10" s="13"/>
      <c r="G10" s="13"/>
      <c r="H10" s="13"/>
      <c r="I10" s="13"/>
      <c r="J10"/>
      <c r="K10" s="13"/>
      <c r="L10" s="13"/>
      <c r="M10" s="13"/>
      <c r="N10" s="13"/>
      <c r="P10"/>
    </row>
    <row r="11" spans="1:16" ht="26" x14ac:dyDescent="0.35">
      <c r="A11" s="668" t="s">
        <v>194</v>
      </c>
      <c r="B11" s="655" t="s">
        <v>0</v>
      </c>
      <c r="C11" s="3">
        <v>2017</v>
      </c>
      <c r="D11" s="3">
        <v>2018</v>
      </c>
      <c r="E11" s="3">
        <v>2019</v>
      </c>
      <c r="F11" s="3">
        <v>2020</v>
      </c>
      <c r="G11" s="3">
        <v>2021</v>
      </c>
      <c r="H11" s="3">
        <v>2022</v>
      </c>
      <c r="I11" s="121">
        <v>2023</v>
      </c>
      <c r="J11"/>
      <c r="K11" s="181" t="s">
        <v>280</v>
      </c>
      <c r="L11" s="181" t="s">
        <v>281</v>
      </c>
      <c r="M11" s="181" t="s">
        <v>256</v>
      </c>
      <c r="N11" s="4" t="s">
        <v>59</v>
      </c>
      <c r="P11" s="663" t="s">
        <v>290</v>
      </c>
    </row>
    <row r="12" spans="1:16" ht="14.5" x14ac:dyDescent="0.35">
      <c r="A12" s="667"/>
      <c r="B12" s="656"/>
      <c r="C12" s="77">
        <v>12</v>
      </c>
      <c r="D12" s="77">
        <v>12</v>
      </c>
      <c r="E12" s="77">
        <v>12</v>
      </c>
      <c r="F12" s="77">
        <v>12</v>
      </c>
      <c r="G12" s="77">
        <v>12</v>
      </c>
      <c r="H12" s="77">
        <v>12</v>
      </c>
      <c r="I12" s="183">
        <v>12</v>
      </c>
      <c r="J12"/>
      <c r="K12" s="78">
        <v>12</v>
      </c>
      <c r="L12" s="78">
        <v>12</v>
      </c>
      <c r="M12" s="78">
        <v>12</v>
      </c>
      <c r="N12" s="78">
        <f>SUM(C12:I12)</f>
        <v>84</v>
      </c>
      <c r="P12" s="663"/>
    </row>
    <row r="13" spans="1:16" s="5" customFormat="1" ht="14.5" x14ac:dyDescent="0.35">
      <c r="A13" s="21" t="s">
        <v>193</v>
      </c>
      <c r="B13" s="153"/>
      <c r="C13" s="110">
        <f>SUM(C14:C16)</f>
        <v>0</v>
      </c>
      <c r="D13" s="110">
        <f t="shared" ref="D13:I13" si="2">SUM(D14:D16)</f>
        <v>0</v>
      </c>
      <c r="E13" s="110">
        <f t="shared" si="2"/>
        <v>0</v>
      </c>
      <c r="F13" s="110">
        <f t="shared" si="2"/>
        <v>0</v>
      </c>
      <c r="G13" s="110">
        <f t="shared" si="2"/>
        <v>0</v>
      </c>
      <c r="H13" s="110">
        <f t="shared" si="2"/>
        <v>0</v>
      </c>
      <c r="I13" s="186">
        <f t="shared" si="2"/>
        <v>0</v>
      </c>
      <c r="J13"/>
      <c r="K13" s="178">
        <f t="shared" ref="K13:M13" si="3">SUM(K14:K16)</f>
        <v>0</v>
      </c>
      <c r="L13" s="23">
        <f t="shared" si="3"/>
        <v>0</v>
      </c>
      <c r="M13" s="23">
        <f t="shared" si="3"/>
        <v>0</v>
      </c>
      <c r="N13" s="179">
        <f>SUM(N14:N16)</f>
        <v>0</v>
      </c>
      <c r="P13" s="189"/>
    </row>
    <row r="14" spans="1:16" ht="14.5" x14ac:dyDescent="0.35">
      <c r="A14" s="25" t="s">
        <v>1</v>
      </c>
      <c r="B14" s="12"/>
      <c r="C14" s="13"/>
      <c r="D14" s="13"/>
      <c r="E14" s="13"/>
      <c r="F14" s="13"/>
      <c r="G14" s="13"/>
      <c r="H14" s="13"/>
      <c r="I14" s="159"/>
      <c r="J14"/>
      <c r="K14" s="208" t="str">
        <f t="shared" ref="K14:K16" si="4">IFERROR(AVERAGE(C14:D14),"")</f>
        <v/>
      </c>
      <c r="L14" s="214" t="str">
        <f t="shared" ref="L14:L16" si="5">IFERROR(AVERAGE(E14:I14),"")</f>
        <v/>
      </c>
      <c r="M14" s="207" t="str">
        <f t="shared" ref="M14:M16" si="6">IFERROR(AVERAGE(C14:I14),"")</f>
        <v/>
      </c>
      <c r="N14" s="207">
        <f t="shared" ref="N14:N16" si="7">SUM(C14:I14)</f>
        <v>0</v>
      </c>
      <c r="P14" s="188"/>
    </row>
    <row r="15" spans="1:16" ht="14.5" x14ac:dyDescent="0.35">
      <c r="A15" s="25" t="s">
        <v>163</v>
      </c>
      <c r="B15" s="12"/>
      <c r="C15" s="13"/>
      <c r="D15" s="13"/>
      <c r="E15" s="13"/>
      <c r="F15" s="13"/>
      <c r="G15" s="13"/>
      <c r="H15" s="13"/>
      <c r="I15" s="159"/>
      <c r="J15"/>
      <c r="K15" s="208" t="str">
        <f t="shared" si="4"/>
        <v/>
      </c>
      <c r="L15" s="214" t="str">
        <f t="shared" si="5"/>
        <v/>
      </c>
      <c r="M15" s="207" t="str">
        <f t="shared" si="6"/>
        <v/>
      </c>
      <c r="N15" s="207">
        <f t="shared" si="7"/>
        <v>0</v>
      </c>
      <c r="P15" s="189"/>
    </row>
    <row r="16" spans="1:16" ht="14.5" x14ac:dyDescent="0.35">
      <c r="A16" s="25" t="s">
        <v>2</v>
      </c>
      <c r="B16" s="12"/>
      <c r="C16" s="13"/>
      <c r="D16" s="13"/>
      <c r="E16" s="13"/>
      <c r="F16" s="13"/>
      <c r="G16" s="13"/>
      <c r="H16" s="13"/>
      <c r="I16" s="159"/>
      <c r="J16"/>
      <c r="K16" s="208" t="str">
        <f t="shared" si="4"/>
        <v/>
      </c>
      <c r="L16" s="214" t="str">
        <f t="shared" si="5"/>
        <v/>
      </c>
      <c r="M16" s="207" t="str">
        <f t="shared" si="6"/>
        <v/>
      </c>
      <c r="N16" s="207">
        <f t="shared" si="7"/>
        <v>0</v>
      </c>
      <c r="P16" s="189"/>
    </row>
    <row r="17" spans="1:16" s="5" customFormat="1" ht="14.5" x14ac:dyDescent="0.35">
      <c r="A17" s="21" t="s">
        <v>195</v>
      </c>
      <c r="B17" s="153"/>
      <c r="C17" s="23">
        <f>SUM(C18:C25)</f>
        <v>0</v>
      </c>
      <c r="D17" s="23">
        <f t="shared" ref="D17:H17" si="8">SUM(D18:D25)</f>
        <v>25049.624269090917</v>
      </c>
      <c r="E17" s="23">
        <f t="shared" si="8"/>
        <v>42599.948661818184</v>
      </c>
      <c r="F17" s="23">
        <f t="shared" si="8"/>
        <v>42599.948661818184</v>
      </c>
      <c r="G17" s="23">
        <f t="shared" si="8"/>
        <v>57051.740225454545</v>
      </c>
      <c r="H17" s="23">
        <f t="shared" si="8"/>
        <v>57051.740225454545</v>
      </c>
      <c r="I17" s="179">
        <f>SUM(I18:I25)</f>
        <v>57051.740225454545</v>
      </c>
      <c r="J17"/>
      <c r="K17" s="178">
        <f t="shared" ref="K17:M17" si="9">SUM(K18:K25)</f>
        <v>25049.624269090917</v>
      </c>
      <c r="L17" s="23">
        <f t="shared" si="9"/>
        <v>51271.023599999993</v>
      </c>
      <c r="M17" s="23">
        <f t="shared" si="9"/>
        <v>46900.790378181817</v>
      </c>
      <c r="N17" s="179">
        <f>SUM(N18:N25)</f>
        <v>281404.74226909096</v>
      </c>
      <c r="P17" s="190"/>
    </row>
    <row r="18" spans="1:16" ht="14.5" x14ac:dyDescent="0.35">
      <c r="A18" s="25" t="s">
        <v>3</v>
      </c>
      <c r="B18" s="12"/>
      <c r="C18" s="253"/>
      <c r="D18" s="264">
        <v>5563.6363636363603</v>
      </c>
      <c r="E18" s="264">
        <v>3927.272727272727</v>
      </c>
      <c r="F18" s="264">
        <v>3927.272727272727</v>
      </c>
      <c r="G18" s="264">
        <v>3927.272727272727</v>
      </c>
      <c r="H18" s="264">
        <v>3927.272727272727</v>
      </c>
      <c r="I18" s="265">
        <v>3927.272727272727</v>
      </c>
      <c r="J18"/>
      <c r="K18" s="208">
        <f t="shared" ref="K18:K25" si="10">IFERROR(AVERAGE(C18:D18),"")</f>
        <v>5563.6363636363603</v>
      </c>
      <c r="L18" s="214">
        <f t="shared" ref="L18:L25" si="11">IFERROR(AVERAGE(E18:I18),"")</f>
        <v>3927.272727272727</v>
      </c>
      <c r="M18" s="207">
        <f t="shared" ref="M18:M25" si="12">IFERROR(AVERAGE(C18:I18),"")</f>
        <v>4200</v>
      </c>
      <c r="N18" s="207">
        <f t="shared" ref="N18:N25" si="13">SUM(C18:I18)</f>
        <v>25200</v>
      </c>
      <c r="P18" s="189" t="s">
        <v>303</v>
      </c>
    </row>
    <row r="19" spans="1:16" ht="14.5" x14ac:dyDescent="0.35">
      <c r="A19" s="25" t="s">
        <v>162</v>
      </c>
      <c r="B19" s="12"/>
      <c r="C19" s="253"/>
      <c r="D19" s="13"/>
      <c r="E19" s="13"/>
      <c r="F19" s="13"/>
      <c r="G19" s="13"/>
      <c r="H19" s="13"/>
      <c r="I19" s="159"/>
      <c r="J19"/>
      <c r="K19" s="208" t="str">
        <f t="shared" si="10"/>
        <v/>
      </c>
      <c r="L19" s="214" t="str">
        <f t="shared" si="11"/>
        <v/>
      </c>
      <c r="M19" s="207" t="str">
        <f t="shared" si="12"/>
        <v/>
      </c>
      <c r="N19" s="207">
        <f t="shared" si="13"/>
        <v>0</v>
      </c>
      <c r="P19" s="189"/>
    </row>
    <row r="20" spans="1:16" ht="14.5" x14ac:dyDescent="0.35">
      <c r="A20" s="25" t="s">
        <v>4</v>
      </c>
      <c r="B20" s="12"/>
      <c r="C20" s="253"/>
      <c r="D20" s="264">
        <v>121.11272727272731</v>
      </c>
      <c r="E20" s="264">
        <v>214.47447272727274</v>
      </c>
      <c r="F20" s="264">
        <v>214.47447272727274</v>
      </c>
      <c r="G20" s="264">
        <v>287.24421818181816</v>
      </c>
      <c r="H20" s="264">
        <v>287.24421818181816</v>
      </c>
      <c r="I20" s="265">
        <v>287.24421818181816</v>
      </c>
      <c r="J20"/>
      <c r="K20" s="208">
        <f t="shared" si="10"/>
        <v>121.11272727272731</v>
      </c>
      <c r="L20" s="214">
        <f t="shared" si="11"/>
        <v>258.13631999999996</v>
      </c>
      <c r="M20" s="207">
        <f t="shared" si="12"/>
        <v>235.2990545454546</v>
      </c>
      <c r="N20" s="207">
        <f t="shared" si="13"/>
        <v>1411.7943272727275</v>
      </c>
      <c r="P20" s="189" t="s">
        <v>304</v>
      </c>
    </row>
    <row r="21" spans="1:16" ht="14.5" x14ac:dyDescent="0.35">
      <c r="A21" s="25" t="s">
        <v>5</v>
      </c>
      <c r="B21" s="12"/>
      <c r="C21" s="253"/>
      <c r="D21" s="13"/>
      <c r="E21" s="13"/>
      <c r="F21" s="13"/>
      <c r="G21" s="13"/>
      <c r="H21" s="13"/>
      <c r="I21" s="159"/>
      <c r="J21"/>
      <c r="K21" s="208" t="str">
        <f t="shared" si="10"/>
        <v/>
      </c>
      <c r="L21" s="214" t="str">
        <f t="shared" si="11"/>
        <v/>
      </c>
      <c r="M21" s="207" t="str">
        <f t="shared" si="12"/>
        <v/>
      </c>
      <c r="N21" s="207">
        <f t="shared" si="13"/>
        <v>0</v>
      </c>
      <c r="P21" s="189"/>
    </row>
    <row r="22" spans="1:16" ht="14.5" x14ac:dyDescent="0.35">
      <c r="A22" s="25" t="s">
        <v>172</v>
      </c>
      <c r="B22" s="12"/>
      <c r="C22" s="253"/>
      <c r="D22" s="13"/>
      <c r="E22" s="13"/>
      <c r="F22" s="13"/>
      <c r="G22" s="13"/>
      <c r="H22" s="13"/>
      <c r="I22" s="159"/>
      <c r="J22"/>
      <c r="K22" s="208" t="str">
        <f t="shared" si="10"/>
        <v/>
      </c>
      <c r="L22" s="214" t="str">
        <f t="shared" si="11"/>
        <v/>
      </c>
      <c r="M22" s="207" t="str">
        <f t="shared" si="12"/>
        <v/>
      </c>
      <c r="N22" s="207">
        <f t="shared" si="13"/>
        <v>0</v>
      </c>
      <c r="P22" s="189"/>
    </row>
    <row r="23" spans="1:16" ht="14.5" x14ac:dyDescent="0.35">
      <c r="A23" s="25" t="s">
        <v>178</v>
      </c>
      <c r="B23" s="12"/>
      <c r="C23" s="253"/>
      <c r="D23" s="13"/>
      <c r="E23" s="13"/>
      <c r="F23" s="13"/>
      <c r="G23" s="13"/>
      <c r="H23" s="13"/>
      <c r="I23" s="159"/>
      <c r="J23"/>
      <c r="K23" s="208" t="str">
        <f t="shared" si="10"/>
        <v/>
      </c>
      <c r="L23" s="214" t="str">
        <f t="shared" si="11"/>
        <v/>
      </c>
      <c r="M23" s="207" t="str">
        <f t="shared" si="12"/>
        <v/>
      </c>
      <c r="N23" s="207">
        <f t="shared" si="13"/>
        <v>0</v>
      </c>
      <c r="P23" s="189"/>
    </row>
    <row r="24" spans="1:16" s="5" customFormat="1" ht="14.5" x14ac:dyDescent="0.35">
      <c r="A24" s="25" t="s">
        <v>6</v>
      </c>
      <c r="B24" s="12"/>
      <c r="C24" s="253"/>
      <c r="D24" s="264">
        <v>18658.909090909099</v>
      </c>
      <c r="E24" s="264">
        <v>37317.818181818184</v>
      </c>
      <c r="F24" s="264">
        <v>37317.818181818184</v>
      </c>
      <c r="G24" s="264">
        <v>51312</v>
      </c>
      <c r="H24" s="264">
        <v>51312</v>
      </c>
      <c r="I24" s="265">
        <v>51312</v>
      </c>
      <c r="J24"/>
      <c r="K24" s="208">
        <f t="shared" si="10"/>
        <v>18658.909090909099</v>
      </c>
      <c r="L24" s="214">
        <f t="shared" si="11"/>
        <v>45714.327272727271</v>
      </c>
      <c r="M24" s="207">
        <f t="shared" si="12"/>
        <v>41205.090909090912</v>
      </c>
      <c r="N24" s="207">
        <f t="shared" si="13"/>
        <v>247230.54545454547</v>
      </c>
      <c r="P24" s="189" t="s">
        <v>301</v>
      </c>
    </row>
    <row r="25" spans="1:16" ht="14.5" x14ac:dyDescent="0.35">
      <c r="A25" s="25" t="s">
        <v>192</v>
      </c>
      <c r="B25" s="12"/>
      <c r="C25" s="253"/>
      <c r="D25" s="264">
        <v>705.96608727272746</v>
      </c>
      <c r="E25" s="264">
        <v>1140.38328</v>
      </c>
      <c r="F25" s="264">
        <v>1140.38328</v>
      </c>
      <c r="G25" s="264">
        <v>1525.2232799999999</v>
      </c>
      <c r="H25" s="264">
        <v>1525.2232799999999</v>
      </c>
      <c r="I25" s="265">
        <v>1525.2232799999999</v>
      </c>
      <c r="J25"/>
      <c r="K25" s="208">
        <f t="shared" si="10"/>
        <v>705.96608727272746</v>
      </c>
      <c r="L25" s="214">
        <f t="shared" si="11"/>
        <v>1371.28728</v>
      </c>
      <c r="M25" s="207">
        <f t="shared" si="12"/>
        <v>1260.4004145454546</v>
      </c>
      <c r="N25" s="207">
        <f t="shared" si="13"/>
        <v>7562.4024872727277</v>
      </c>
      <c r="P25" s="189"/>
    </row>
    <row r="26" spans="1:16" ht="14.5" x14ac:dyDescent="0.35">
      <c r="A26" s="21" t="s">
        <v>196</v>
      </c>
      <c r="B26" s="151"/>
      <c r="C26" s="23"/>
      <c r="D26" s="23"/>
      <c r="E26" s="23"/>
      <c r="F26" s="23"/>
      <c r="G26" s="23"/>
      <c r="H26" s="23"/>
      <c r="I26" s="179"/>
      <c r="J26"/>
      <c r="K26" s="178"/>
      <c r="L26" s="23"/>
      <c r="M26" s="179"/>
      <c r="N26" s="179"/>
      <c r="P26" s="190"/>
    </row>
    <row r="27" spans="1:16" ht="14.5" x14ac:dyDescent="0.35">
      <c r="A27" s="18" t="s">
        <v>204</v>
      </c>
      <c r="B27" s="57"/>
      <c r="C27" s="19">
        <f>C13+C17+C26</f>
        <v>0</v>
      </c>
      <c r="D27" s="19">
        <f t="shared" ref="D27:I27" si="14">D13+D17+D26</f>
        <v>25049.624269090917</v>
      </c>
      <c r="E27" s="19">
        <f t="shared" si="14"/>
        <v>42599.948661818184</v>
      </c>
      <c r="F27" s="19">
        <f t="shared" si="14"/>
        <v>42599.948661818184</v>
      </c>
      <c r="G27" s="19">
        <f t="shared" si="14"/>
        <v>57051.740225454545</v>
      </c>
      <c r="H27" s="19">
        <f t="shared" si="14"/>
        <v>57051.740225454545</v>
      </c>
      <c r="I27" s="35">
        <f t="shared" si="14"/>
        <v>57051.740225454545</v>
      </c>
      <c r="J27"/>
      <c r="K27" s="60">
        <f t="shared" ref="K27:M27" si="15">K13+K17+K26</f>
        <v>25049.624269090917</v>
      </c>
      <c r="L27" s="19">
        <f t="shared" si="15"/>
        <v>51271.023599999993</v>
      </c>
      <c r="M27" s="35">
        <f t="shared" si="15"/>
        <v>46900.790378181817</v>
      </c>
      <c r="N27" s="35">
        <f>N13+N17+N26</f>
        <v>281404.74226909096</v>
      </c>
      <c r="P27" s="190"/>
    </row>
    <row r="28" spans="1:16" ht="14.5" x14ac:dyDescent="0.35">
      <c r="B28" s="30"/>
      <c r="C28" s="2"/>
      <c r="D28" s="2"/>
      <c r="E28" s="2"/>
      <c r="F28" s="2"/>
      <c r="G28" s="2"/>
      <c r="H28" s="2"/>
      <c r="I28" s="2"/>
      <c r="J28"/>
      <c r="K28" s="2"/>
      <c r="L28" s="2"/>
      <c r="M28" s="2"/>
      <c r="N28" s="2"/>
      <c r="P28" s="11"/>
    </row>
    <row r="29" spans="1:16" ht="14.5" x14ac:dyDescent="0.35">
      <c r="A29" s="111" t="s">
        <v>198</v>
      </c>
      <c r="B29" s="112"/>
      <c r="C29" s="238" t="e">
        <f>C25/C27</f>
        <v>#DIV/0!</v>
      </c>
      <c r="D29" s="238">
        <f t="shared" ref="D29:I29" si="16">D25/D27</f>
        <v>2.8182701652089408E-2</v>
      </c>
      <c r="E29" s="238">
        <f t="shared" si="16"/>
        <v>2.6769592823995859E-2</v>
      </c>
      <c r="F29" s="238">
        <f t="shared" si="16"/>
        <v>2.6769592823995859E-2</v>
      </c>
      <c r="G29" s="238">
        <f t="shared" si="16"/>
        <v>2.6734036051708328E-2</v>
      </c>
      <c r="H29" s="238">
        <f t="shared" si="16"/>
        <v>2.6734036051708328E-2</v>
      </c>
      <c r="I29" s="239">
        <f t="shared" si="16"/>
        <v>2.6734036051708328E-2</v>
      </c>
      <c r="J29" s="242"/>
      <c r="K29" s="243">
        <f t="shared" ref="K29:M29" si="17">K25/K27</f>
        <v>2.8182701652089408E-2</v>
      </c>
      <c r="L29" s="238">
        <f t="shared" si="17"/>
        <v>2.6745853382962304E-2</v>
      </c>
      <c r="M29" s="238">
        <f t="shared" si="17"/>
        <v>2.6873756377713224E-2</v>
      </c>
      <c r="N29" s="241">
        <f>N25/N27</f>
        <v>2.687375637771322E-2</v>
      </c>
    </row>
    <row r="30" spans="1:16" ht="14.5" x14ac:dyDescent="0.35">
      <c r="J30"/>
    </row>
    <row r="31" spans="1:16" ht="14.5" x14ac:dyDescent="0.35">
      <c r="J31"/>
    </row>
    <row r="32" spans="1:16" ht="14.5" x14ac:dyDescent="0.35">
      <c r="J32"/>
    </row>
    <row r="33" spans="10:10" ht="14.5" x14ac:dyDescent="0.35">
      <c r="J33"/>
    </row>
  </sheetData>
  <mergeCells count="7">
    <mergeCell ref="P4:P5"/>
    <mergeCell ref="P11:P12"/>
    <mergeCell ref="A1:N1"/>
    <mergeCell ref="A4:A5"/>
    <mergeCell ref="B4:B5"/>
    <mergeCell ref="A11:A12"/>
    <mergeCell ref="B11:B12"/>
  </mergeCells>
  <printOptions horizontalCentered="1"/>
  <pageMargins left="0.70866141732283472" right="0.70866141732283472" top="0.74803149606299213" bottom="0.74803149606299213" header="0.31496062992125984" footer="0.31496062992125984"/>
  <pageSetup paperSize="9" scale="63" orientation="landscape" r:id="rId1"/>
  <headerFooter>
    <oddHeader>&amp;L&amp;F&amp;R&amp;A</oddHeader>
    <oddFooter>&amp;L&amp;D&amp;C&amp;P/&amp;N&amp;R&amp;T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A1:J55"/>
  <sheetViews>
    <sheetView showGridLines="0" view="pageBreakPreview" zoomScale="85" zoomScaleNormal="100" zoomScaleSheetLayoutView="85" workbookViewId="0">
      <selection sqref="A1:I1"/>
    </sheetView>
  </sheetViews>
  <sheetFormatPr baseColWidth="10" defaultColWidth="11.26953125" defaultRowHeight="13" x14ac:dyDescent="0.3"/>
  <cols>
    <col min="1" max="1" width="32.453125" style="2" customWidth="1"/>
    <col min="2" max="2" width="17.1796875" style="2" customWidth="1"/>
    <col min="3" max="4" width="11.453125" style="11" customWidth="1"/>
    <col min="5" max="5" width="12.453125" style="58" bestFit="1" customWidth="1"/>
    <col min="6" max="7" width="11.453125" style="11" customWidth="1"/>
    <col min="8" max="9" width="11.453125" style="58" customWidth="1"/>
    <col min="10" max="10" width="11.453125" style="277" customWidth="1"/>
    <col min="11" max="16384" width="11.26953125" style="2"/>
  </cols>
  <sheetData>
    <row r="1" spans="1:10" ht="30" customHeight="1" x14ac:dyDescent="0.3">
      <c r="A1" s="658" t="s">
        <v>330</v>
      </c>
      <c r="B1" s="664"/>
      <c r="C1" s="664"/>
      <c r="D1" s="664"/>
      <c r="E1" s="664"/>
      <c r="F1" s="664"/>
      <c r="G1" s="664"/>
      <c r="H1" s="664"/>
      <c r="I1" s="665"/>
    </row>
    <row r="3" spans="1:10" ht="28.15" customHeight="1" x14ac:dyDescent="0.3">
      <c r="A3" s="666" t="s">
        <v>282</v>
      </c>
      <c r="B3" s="672" t="s">
        <v>165</v>
      </c>
      <c r="C3" s="3" t="str">
        <f>Annee0</f>
        <v>Année 0</v>
      </c>
      <c r="D3" s="3" t="str">
        <f>Annee1</f>
        <v>Année 1</v>
      </c>
      <c r="E3" s="3" t="str">
        <f>Annee2</f>
        <v>Année 2</v>
      </c>
      <c r="F3" s="516" t="str">
        <f>Annee3</f>
        <v>Année 3</v>
      </c>
      <c r="G3" s="541" t="str">
        <f>Annee4</f>
        <v>Année 4</v>
      </c>
      <c r="H3" s="181" t="s">
        <v>256</v>
      </c>
      <c r="I3" s="4" t="s">
        <v>59</v>
      </c>
    </row>
    <row r="4" spans="1:10" x14ac:dyDescent="0.3">
      <c r="A4" s="667"/>
      <c r="B4" s="673"/>
      <c r="C4" s="77">
        <v>12</v>
      </c>
      <c r="D4" s="77">
        <v>12</v>
      </c>
      <c r="E4" s="77">
        <v>12</v>
      </c>
      <c r="F4" s="77">
        <v>12</v>
      </c>
      <c r="G4" s="77">
        <v>12</v>
      </c>
      <c r="H4" s="78">
        <f>IFERROR(AVERAGE(C4:G4),0)</f>
        <v>12</v>
      </c>
      <c r="I4" s="78">
        <f>SUM(C4:G4)</f>
        <v>60</v>
      </c>
    </row>
    <row r="5" spans="1:10" x14ac:dyDescent="0.3">
      <c r="A5" s="36" t="s">
        <v>283</v>
      </c>
      <c r="B5" s="37"/>
      <c r="C5" s="504"/>
      <c r="D5" s="318">
        <f>'4a'!D9</f>
        <v>7495136.6459740121</v>
      </c>
      <c r="E5" s="318">
        <f>'4a'!E9</f>
        <v>7495136.6459740074</v>
      </c>
      <c r="F5" s="563">
        <f>'4a'!F9</f>
        <v>7495136.6459740084</v>
      </c>
      <c r="G5" s="193">
        <f>'4a'!G9</f>
        <v>7495136.645974013</v>
      </c>
      <c r="H5" s="10">
        <f>IFERROR(AVERAGE(C5:G5),0)</f>
        <v>7495136.6459740112</v>
      </c>
      <c r="I5" s="39">
        <f>SUM(C5:G5)</f>
        <v>29980546.583896045</v>
      </c>
    </row>
    <row r="6" spans="1:10" x14ac:dyDescent="0.3">
      <c r="A6" s="36" t="s">
        <v>284</v>
      </c>
      <c r="B6" s="37"/>
      <c r="C6" s="503"/>
      <c r="D6" s="138">
        <f>'4a'!D40</f>
        <v>1477919.3184652261</v>
      </c>
      <c r="E6" s="138">
        <f>'4a'!E40</f>
        <v>1477919.3184652261</v>
      </c>
      <c r="F6" s="564">
        <f>'4a'!F40</f>
        <v>1477919.3184652263</v>
      </c>
      <c r="G6" s="38">
        <f>'4a'!G40</f>
        <v>1477919.3184652263</v>
      </c>
      <c r="H6" s="39">
        <f>IFERROR(AVERAGE(C6:G6),0)</f>
        <v>1477919.3184652261</v>
      </c>
      <c r="I6" s="39">
        <f>SUM(C6:G6)</f>
        <v>5911677.2738609044</v>
      </c>
    </row>
    <row r="7" spans="1:10" x14ac:dyDescent="0.3">
      <c r="A7" s="36" t="s">
        <v>285</v>
      </c>
      <c r="B7" s="37"/>
      <c r="C7" s="503"/>
      <c r="D7" s="138">
        <f>'4a'!D71</f>
        <v>358922.23857756954</v>
      </c>
      <c r="E7" s="138">
        <f>'4a'!E71</f>
        <v>358922.23857756931</v>
      </c>
      <c r="F7" s="564">
        <f>'4a'!F71</f>
        <v>358922.23857756937</v>
      </c>
      <c r="G7" s="38">
        <f>'4a'!G71</f>
        <v>358922.2385775696</v>
      </c>
      <c r="H7" s="39">
        <f>IFERROR(AVERAGE(C7:G7),0)</f>
        <v>358922.23857756943</v>
      </c>
      <c r="I7" s="39">
        <f>SUM(C7:G7)</f>
        <v>1435688.9543102777</v>
      </c>
    </row>
    <row r="8" spans="1:10" x14ac:dyDescent="0.3">
      <c r="A8" s="18" t="s">
        <v>7</v>
      </c>
      <c r="B8" s="34"/>
      <c r="C8" s="476"/>
      <c r="D8" s="19">
        <f t="shared" ref="D8:G8" si="0">SUM(D5:D7)</f>
        <v>9331978.2030168064</v>
      </c>
      <c r="E8" s="19">
        <f t="shared" si="0"/>
        <v>9331978.2030168027</v>
      </c>
      <c r="F8" s="19">
        <f t="shared" ref="F8" si="1">SUM(F5:F7)</f>
        <v>9331978.2030168045</v>
      </c>
      <c r="G8" s="35">
        <f t="shared" si="0"/>
        <v>9331978.2030168083</v>
      </c>
      <c r="H8" s="35">
        <f>IFERROR(AVERAGE(C8:G8),0)</f>
        <v>9331978.2030168064</v>
      </c>
      <c r="I8" s="35">
        <f>SUM(C8:G8)</f>
        <v>37327912.812067226</v>
      </c>
    </row>
    <row r="9" spans="1:10" x14ac:dyDescent="0.3">
      <c r="E9" s="11"/>
      <c r="F9" s="562"/>
      <c r="G9" s="562"/>
      <c r="H9" s="2"/>
      <c r="I9" s="2"/>
    </row>
    <row r="10" spans="1:10" ht="27" customHeight="1" x14ac:dyDescent="0.3">
      <c r="A10" s="653" t="s">
        <v>95</v>
      </c>
      <c r="B10" s="655" t="s">
        <v>0</v>
      </c>
      <c r="C10" s="3" t="str">
        <f>Annee0</f>
        <v>Année 0</v>
      </c>
      <c r="D10" s="3" t="str">
        <f>Annee1</f>
        <v>Année 1</v>
      </c>
      <c r="E10" s="3" t="str">
        <f>Annee2</f>
        <v>Année 2</v>
      </c>
      <c r="F10" s="516" t="str">
        <f>Annee3</f>
        <v>Année 3</v>
      </c>
      <c r="G10" s="541" t="str">
        <f>Annee4</f>
        <v>Année 4</v>
      </c>
      <c r="H10" s="181" t="s">
        <v>256</v>
      </c>
      <c r="I10" s="4" t="s">
        <v>59</v>
      </c>
    </row>
    <row r="11" spans="1:10" x14ac:dyDescent="0.3">
      <c r="A11" s="654"/>
      <c r="B11" s="656"/>
      <c r="C11" s="77">
        <v>12</v>
      </c>
      <c r="D11" s="77">
        <v>12</v>
      </c>
      <c r="E11" s="77">
        <v>12</v>
      </c>
      <c r="F11" s="77">
        <v>12</v>
      </c>
      <c r="G11" s="77">
        <v>12</v>
      </c>
      <c r="H11" s="78">
        <f t="shared" ref="H11:H30" si="2">IFERROR(AVERAGE(C11:G11),0)</f>
        <v>12</v>
      </c>
      <c r="I11" s="78">
        <f t="shared" ref="I11:I30" si="3">SUM(C11:G11)</f>
        <v>60</v>
      </c>
    </row>
    <row r="12" spans="1:10" x14ac:dyDescent="0.3">
      <c r="A12" s="50" t="s">
        <v>354</v>
      </c>
      <c r="B12" s="51"/>
      <c r="C12" s="480"/>
      <c r="D12" s="295">
        <f t="shared" ref="D12" si="4">SUM(D13:D14)</f>
        <v>28394455.195022449</v>
      </c>
      <c r="E12" s="295">
        <f t="shared" ref="E12:G12" si="5">SUM(E13:E14)</f>
        <v>28968476.262914971</v>
      </c>
      <c r="F12" s="295">
        <f t="shared" ref="F12" si="6">SUM(F13:F14)</f>
        <v>28664234.638131443</v>
      </c>
      <c r="G12" s="294">
        <f t="shared" si="5"/>
        <v>29484579.821843803</v>
      </c>
      <c r="H12" s="54">
        <f t="shared" si="2"/>
        <v>28877936.479478166</v>
      </c>
      <c r="I12" s="54">
        <f t="shared" si="3"/>
        <v>115511745.91791266</v>
      </c>
    </row>
    <row r="13" spans="1:10" x14ac:dyDescent="0.3">
      <c r="A13" s="25" t="s">
        <v>9</v>
      </c>
      <c r="B13" s="670" t="s">
        <v>166</v>
      </c>
      <c r="C13" s="503"/>
      <c r="D13" s="138">
        <f>'4b'!D56+'4b'!D65+'4b'!D74+'4b'!D83+'4b'!D92+'4b'!D101+'4b'!D115+'4b'!D124+'4b'!D133</f>
        <v>8551745.0463899542</v>
      </c>
      <c r="E13" s="138">
        <f>'4b'!E56+'4b'!E65+'4b'!E74+'4b'!E83+'4b'!E92+'4b'!E101+'4b'!E115+'4b'!E124+'4b'!E133</f>
        <v>8949380.6563213021</v>
      </c>
      <c r="F13" s="564">
        <f>'4b'!F56+'4b'!F65+'4b'!F74+'4b'!F83+'4b'!F92+'4b'!F101+'4b'!F115+'4b'!F124+'4b'!F133</f>
        <v>8519816.9819381684</v>
      </c>
      <c r="G13" s="38">
        <f>'4b'!G56+'4b'!G65+'4b'!G74+'4b'!G83+'4b'!G92+'4b'!G101+'4b'!G115+'4b'!G124+'4b'!G133</f>
        <v>9197689.4675562941</v>
      </c>
      <c r="H13" s="10">
        <f t="shared" si="2"/>
        <v>8804658.0380514301</v>
      </c>
      <c r="I13" s="39">
        <f t="shared" si="3"/>
        <v>35218632.152205721</v>
      </c>
    </row>
    <row r="14" spans="1:10" x14ac:dyDescent="0.3">
      <c r="A14" s="25" t="s">
        <v>10</v>
      </c>
      <c r="B14" s="671"/>
      <c r="C14" s="503"/>
      <c r="D14" s="138">
        <f>'4b'!D190+'4b'!D191+'4b'!D192+'4b'!D193</f>
        <v>19842710.148632497</v>
      </c>
      <c r="E14" s="138">
        <f>'4b'!E190+'4b'!E191+'4b'!E192+'4b'!E193</f>
        <v>20019095.606593668</v>
      </c>
      <c r="F14" s="564">
        <f>'4b'!F190+'4b'!F191+'4b'!F192+'4b'!F193</f>
        <v>20144417.656193275</v>
      </c>
      <c r="G14" s="38">
        <f>'4b'!G190+'4b'!G191+'4b'!G192+'4b'!G193</f>
        <v>20286890.354287509</v>
      </c>
      <c r="H14" s="39">
        <f t="shared" si="2"/>
        <v>20073278.441426735</v>
      </c>
      <c r="I14" s="39">
        <f t="shared" si="3"/>
        <v>80293113.765706941</v>
      </c>
    </row>
    <row r="15" spans="1:10" x14ac:dyDescent="0.3">
      <c r="A15" s="50" t="s">
        <v>355</v>
      </c>
      <c r="B15" s="53"/>
      <c r="C15" s="480"/>
      <c r="D15" s="295">
        <f t="shared" ref="D15" si="7">SUM(D16:D17)</f>
        <v>0</v>
      </c>
      <c r="E15" s="295">
        <f t="shared" ref="E15:G15" si="8">SUM(E16:E17)</f>
        <v>0</v>
      </c>
      <c r="F15" s="295">
        <f t="shared" ref="F15" si="9">SUM(F16:F17)</f>
        <v>0</v>
      </c>
      <c r="G15" s="294">
        <f t="shared" si="8"/>
        <v>0</v>
      </c>
      <c r="H15" s="54">
        <f t="shared" si="2"/>
        <v>0</v>
      </c>
      <c r="I15" s="54">
        <f t="shared" si="3"/>
        <v>0</v>
      </c>
    </row>
    <row r="16" spans="1:10" s="172" customFormat="1" x14ac:dyDescent="0.3">
      <c r="A16" s="170" t="s">
        <v>9</v>
      </c>
      <c r="B16" s="670" t="s">
        <v>166</v>
      </c>
      <c r="C16" s="504"/>
      <c r="D16" s="318">
        <f>'4b'!D61+'4b'!D70+'4b'!D79+'4b'!D88+'4b'!D97+'4b'!D106+'4b'!D120+'4b'!D129+'4b'!D138</f>
        <v>0</v>
      </c>
      <c r="E16" s="318">
        <f>'4b'!E61+'4b'!E70+'4b'!E79+'4b'!E88+'4b'!E97+'4b'!E106+'4b'!E120+'4b'!E129+'4b'!E138</f>
        <v>0</v>
      </c>
      <c r="F16" s="563">
        <f>'4b'!F61+'4b'!F70+'4b'!F79+'4b'!F88+'4b'!F97+'4b'!F106+'4b'!F120+'4b'!F129+'4b'!F138</f>
        <v>0</v>
      </c>
      <c r="G16" s="193">
        <f>'4b'!G61+'4b'!G70+'4b'!G79+'4b'!G88+'4b'!G97+'4b'!G106+'4b'!G120+'4b'!G129+'4b'!G138</f>
        <v>0</v>
      </c>
      <c r="H16" s="345">
        <f t="shared" si="2"/>
        <v>0</v>
      </c>
      <c r="I16" s="346">
        <f t="shared" si="3"/>
        <v>0</v>
      </c>
      <c r="J16" s="347"/>
    </row>
    <row r="17" spans="1:10" s="172" customFormat="1" x14ac:dyDescent="0.3">
      <c r="A17" s="170" t="s">
        <v>10</v>
      </c>
      <c r="B17" s="671"/>
      <c r="C17" s="504"/>
      <c r="D17" s="318">
        <f>'4b'!D194</f>
        <v>0</v>
      </c>
      <c r="E17" s="318">
        <f>'4b'!E194</f>
        <v>0</v>
      </c>
      <c r="F17" s="563">
        <f>'4b'!F194</f>
        <v>0</v>
      </c>
      <c r="G17" s="193">
        <f>'4b'!G194</f>
        <v>0</v>
      </c>
      <c r="H17" s="346">
        <f t="shared" si="2"/>
        <v>0</v>
      </c>
      <c r="I17" s="346">
        <f t="shared" si="3"/>
        <v>0</v>
      </c>
      <c r="J17" s="347"/>
    </row>
    <row r="18" spans="1:10" x14ac:dyDescent="0.3">
      <c r="A18" s="50" t="s">
        <v>449</v>
      </c>
      <c r="B18" s="53"/>
      <c r="C18" s="480"/>
      <c r="D18" s="295">
        <f t="shared" ref="D18" si="10">SUM(D19:D20)</f>
        <v>0</v>
      </c>
      <c r="E18" s="295">
        <f t="shared" ref="E18:G18" si="11">SUM(E19:E20)</f>
        <v>0</v>
      </c>
      <c r="F18" s="295">
        <f t="shared" ref="F18" si="12">SUM(F19:F20)</f>
        <v>0</v>
      </c>
      <c r="G18" s="294">
        <f t="shared" si="11"/>
        <v>0</v>
      </c>
      <c r="H18" s="54">
        <f t="shared" si="2"/>
        <v>0</v>
      </c>
      <c r="I18" s="54">
        <f t="shared" si="3"/>
        <v>0</v>
      </c>
    </row>
    <row r="19" spans="1:10" s="172" customFormat="1" x14ac:dyDescent="0.3">
      <c r="A19" s="170" t="s">
        <v>9</v>
      </c>
      <c r="B19" s="670" t="s">
        <v>166</v>
      </c>
      <c r="C19" s="504"/>
      <c r="D19" s="318">
        <f>'4b'!D62+'4b'!D71+'4b'!D80+'4b'!D89+'4b'!D98+'4b'!D107+'4b'!D121+'4b'!D130+'4b'!D139</f>
        <v>0</v>
      </c>
      <c r="E19" s="318">
        <f>'4b'!E62+'4b'!E71+'4b'!E80+'4b'!E89+'4b'!E98+'4b'!E107+'4b'!E121+'4b'!E130+'4b'!E139</f>
        <v>0</v>
      </c>
      <c r="F19" s="563">
        <f>'4b'!F62+'4b'!F71+'4b'!F80+'4b'!F89+'4b'!F98+'4b'!F107+'4b'!F121+'4b'!F130+'4b'!F139</f>
        <v>0</v>
      </c>
      <c r="G19" s="193">
        <f>'4b'!G62+'4b'!G71+'4b'!G80+'4b'!G89+'4b'!G98+'4b'!G107+'4b'!G121+'4b'!G130+'4b'!G139</f>
        <v>0</v>
      </c>
      <c r="H19" s="345">
        <f t="shared" si="2"/>
        <v>0</v>
      </c>
      <c r="I19" s="346">
        <f t="shared" si="3"/>
        <v>0</v>
      </c>
      <c r="J19" s="347"/>
    </row>
    <row r="20" spans="1:10" s="172" customFormat="1" x14ac:dyDescent="0.3">
      <c r="A20" s="170" t="s">
        <v>10</v>
      </c>
      <c r="B20" s="671"/>
      <c r="C20" s="504"/>
      <c r="D20" s="318">
        <f>'4b'!D195</f>
        <v>0</v>
      </c>
      <c r="E20" s="318">
        <f>'4b'!E195</f>
        <v>0</v>
      </c>
      <c r="F20" s="563">
        <f>'4b'!F195</f>
        <v>0</v>
      </c>
      <c r="G20" s="193">
        <f>'4b'!G195</f>
        <v>0</v>
      </c>
      <c r="H20" s="346">
        <f t="shared" si="2"/>
        <v>0</v>
      </c>
      <c r="I20" s="346">
        <f t="shared" si="3"/>
        <v>0</v>
      </c>
      <c r="J20" s="347"/>
    </row>
    <row r="21" spans="1:10" x14ac:dyDescent="0.3">
      <c r="A21" s="50" t="s">
        <v>356</v>
      </c>
      <c r="B21" s="53"/>
      <c r="C21" s="480"/>
      <c r="D21" s="295">
        <f t="shared" ref="D21" si="13">SUM(D22:D23)</f>
        <v>83311.904960942265</v>
      </c>
      <c r="E21" s="295">
        <f t="shared" ref="E21:G21" si="14">SUM(E22:E23)</f>
        <v>77658.878358127171</v>
      </c>
      <c r="F21" s="295">
        <f t="shared" ref="F21" si="15">SUM(F22:F23)</f>
        <v>85021.528355639646</v>
      </c>
      <c r="G21" s="294">
        <f t="shared" si="14"/>
        <v>91137.817058391985</v>
      </c>
      <c r="H21" s="54">
        <f t="shared" si="2"/>
        <v>84282.532183275267</v>
      </c>
      <c r="I21" s="54">
        <f t="shared" si="3"/>
        <v>337130.12873310107</v>
      </c>
    </row>
    <row r="22" spans="1:10" s="172" customFormat="1" x14ac:dyDescent="0.3">
      <c r="A22" s="170" t="s">
        <v>9</v>
      </c>
      <c r="B22" s="670" t="s">
        <v>166</v>
      </c>
      <c r="C22" s="504"/>
      <c r="D22" s="318">
        <f>'4b'!D63+'4b'!D72+'4b'!D81+'4b'!D90+'4b'!D99+'4b'!D108+'4b'!D122+'4b'!D131+'4b'!D140</f>
        <v>83311.904960942265</v>
      </c>
      <c r="E22" s="318">
        <f>'4b'!E63+'4b'!E72+'4b'!E81+'4b'!E90+'4b'!E99+'4b'!E108+'4b'!E122+'4b'!E131+'4b'!E140</f>
        <v>77658.878358127171</v>
      </c>
      <c r="F22" s="563">
        <f>'4b'!F63+'4b'!F72+'4b'!F81+'4b'!F90+'4b'!F99+'4b'!F108+'4b'!F122+'4b'!F131+'4b'!F140</f>
        <v>85021.528355639646</v>
      </c>
      <c r="G22" s="193">
        <f>'4b'!G63+'4b'!G72+'4b'!G81+'4b'!G90+'4b'!G99+'4b'!G108+'4b'!G122+'4b'!G131+'4b'!G140</f>
        <v>91137.817058391985</v>
      </c>
      <c r="H22" s="345">
        <f t="shared" si="2"/>
        <v>84282.532183275267</v>
      </c>
      <c r="I22" s="346">
        <f t="shared" si="3"/>
        <v>337130.12873310107</v>
      </c>
      <c r="J22" s="347"/>
    </row>
    <row r="23" spans="1:10" s="172" customFormat="1" x14ac:dyDescent="0.3">
      <c r="A23" s="170" t="s">
        <v>10</v>
      </c>
      <c r="B23" s="671"/>
      <c r="C23" s="504"/>
      <c r="D23" s="318">
        <f>'4b'!D196</f>
        <v>0</v>
      </c>
      <c r="E23" s="318">
        <f>'4b'!E196</f>
        <v>0</v>
      </c>
      <c r="F23" s="563">
        <f>'4b'!F196</f>
        <v>0</v>
      </c>
      <c r="G23" s="193">
        <f>'4b'!G196</f>
        <v>0</v>
      </c>
      <c r="H23" s="346">
        <f t="shared" si="2"/>
        <v>0</v>
      </c>
      <c r="I23" s="346">
        <f t="shared" si="3"/>
        <v>0</v>
      </c>
      <c r="J23" s="347"/>
    </row>
    <row r="24" spans="1:10" x14ac:dyDescent="0.3">
      <c r="A24" s="50" t="s">
        <v>64</v>
      </c>
      <c r="B24" s="53"/>
      <c r="C24" s="480"/>
      <c r="D24" s="295">
        <f t="shared" ref="D24" si="16">SUM(D25:D26)</f>
        <v>54773.323338433474</v>
      </c>
      <c r="E24" s="295">
        <f t="shared" ref="E24" si="17">SUM(E25:E26)</f>
        <v>55560.089984376304</v>
      </c>
      <c r="F24" s="295">
        <f t="shared" ref="F24:G24" si="18">SUM(F25:F26)</f>
        <v>60532.045808699528</v>
      </c>
      <c r="G24" s="294">
        <f t="shared" si="18"/>
        <v>55616.850060704761</v>
      </c>
      <c r="H24" s="54">
        <f t="shared" si="2"/>
        <v>56620.577298053511</v>
      </c>
      <c r="I24" s="54">
        <f t="shared" si="3"/>
        <v>226482.30919221404</v>
      </c>
    </row>
    <row r="25" spans="1:10" x14ac:dyDescent="0.3">
      <c r="A25" s="25" t="s">
        <v>200</v>
      </c>
      <c r="B25" s="670" t="s">
        <v>167</v>
      </c>
      <c r="C25" s="503"/>
      <c r="D25" s="138">
        <f>'4c'!D19</f>
        <v>10184.970000000001</v>
      </c>
      <c r="E25" s="138">
        <f>'4c'!E19</f>
        <v>10584.970000000001</v>
      </c>
      <c r="F25" s="564">
        <f>'4c'!F19</f>
        <v>13963.970000000001</v>
      </c>
      <c r="G25" s="38">
        <f>'4c'!G19</f>
        <v>12888.970000000001</v>
      </c>
      <c r="H25" s="10">
        <f t="shared" si="2"/>
        <v>11905.720000000001</v>
      </c>
      <c r="I25" s="39">
        <f t="shared" si="3"/>
        <v>47622.880000000005</v>
      </c>
    </row>
    <row r="26" spans="1:10" s="5" customFormat="1" x14ac:dyDescent="0.3">
      <c r="A26" s="25" t="s">
        <v>10</v>
      </c>
      <c r="B26" s="671"/>
      <c r="C26" s="503"/>
      <c r="D26" s="138">
        <f>'4c'!D25</f>
        <v>44588.353338433473</v>
      </c>
      <c r="E26" s="138">
        <f>'4c'!E25</f>
        <v>44975.119984376302</v>
      </c>
      <c r="F26" s="564">
        <f>'4c'!F25</f>
        <v>46568.075808699527</v>
      </c>
      <c r="G26" s="38">
        <f>'4c'!G25</f>
        <v>42727.88006070476</v>
      </c>
      <c r="H26" s="39">
        <f t="shared" si="2"/>
        <v>44714.85729805351</v>
      </c>
      <c r="I26" s="39">
        <f t="shared" si="3"/>
        <v>178859.42919221404</v>
      </c>
      <c r="J26" s="42"/>
    </row>
    <row r="27" spans="1:10" x14ac:dyDescent="0.3">
      <c r="A27" s="50" t="s">
        <v>286</v>
      </c>
      <c r="B27" s="53"/>
      <c r="C27" s="480"/>
      <c r="D27" s="295">
        <f t="shared" ref="D27:G27" si="19">D28</f>
        <v>85493.700000000012</v>
      </c>
      <c r="E27" s="295">
        <f t="shared" si="19"/>
        <v>85493.700000000012</v>
      </c>
      <c r="F27" s="295">
        <f t="shared" si="19"/>
        <v>85493.700000000012</v>
      </c>
      <c r="G27" s="294">
        <f t="shared" si="19"/>
        <v>85493.700000000012</v>
      </c>
      <c r="H27" s="54">
        <f t="shared" si="2"/>
        <v>85493.700000000012</v>
      </c>
      <c r="I27" s="54">
        <f t="shared" si="3"/>
        <v>341974.80000000005</v>
      </c>
    </row>
    <row r="28" spans="1:10" x14ac:dyDescent="0.3">
      <c r="A28" s="25" t="s">
        <v>9</v>
      </c>
      <c r="B28" s="182" t="s">
        <v>287</v>
      </c>
      <c r="C28" s="497"/>
      <c r="D28" s="319">
        <f>'4d'!D23</f>
        <v>85493.700000000012</v>
      </c>
      <c r="E28" s="319">
        <f>'4d'!E23</f>
        <v>85493.700000000012</v>
      </c>
      <c r="F28" s="553">
        <f>'4d'!F23</f>
        <v>85493.700000000012</v>
      </c>
      <c r="G28" s="321">
        <f>'4d'!G23</f>
        <v>85493.700000000012</v>
      </c>
      <c r="H28" s="39">
        <f t="shared" si="2"/>
        <v>85493.700000000012</v>
      </c>
      <c r="I28" s="39">
        <f t="shared" si="3"/>
        <v>341974.80000000005</v>
      </c>
    </row>
    <row r="29" spans="1:10" x14ac:dyDescent="0.3">
      <c r="A29" s="50" t="s">
        <v>358</v>
      </c>
      <c r="B29" s="53"/>
      <c r="C29" s="480"/>
      <c r="D29" s="295">
        <f>'4b'!D141</f>
        <v>240000</v>
      </c>
      <c r="E29" s="295">
        <f>'4b'!E141</f>
        <v>240000</v>
      </c>
      <c r="F29" s="295">
        <f>'4b'!F141</f>
        <v>240000</v>
      </c>
      <c r="G29" s="294">
        <f>'4b'!G141</f>
        <v>240000</v>
      </c>
      <c r="H29" s="54">
        <f t="shared" si="2"/>
        <v>240000</v>
      </c>
      <c r="I29" s="54">
        <f t="shared" si="3"/>
        <v>960000</v>
      </c>
    </row>
    <row r="30" spans="1:10" s="5" customFormat="1" x14ac:dyDescent="0.3">
      <c r="A30" s="18" t="s">
        <v>7</v>
      </c>
      <c r="B30" s="57"/>
      <c r="C30" s="476"/>
      <c r="D30" s="19">
        <f t="shared" ref="D30:G30" si="20">D12+D15+D21+D24+D27+D29</f>
        <v>28858034.123321824</v>
      </c>
      <c r="E30" s="19">
        <f t="shared" si="20"/>
        <v>29427188.931257471</v>
      </c>
      <c r="F30" s="19">
        <f t="shared" ref="F30" si="21">F12+F15+F21+F24+F27+F29</f>
        <v>29135281.912295781</v>
      </c>
      <c r="G30" s="35">
        <f t="shared" si="20"/>
        <v>29956828.188962899</v>
      </c>
      <c r="H30" s="20">
        <f t="shared" si="2"/>
        <v>29344333.288959496</v>
      </c>
      <c r="I30" s="20">
        <f t="shared" si="3"/>
        <v>117377333.15583798</v>
      </c>
      <c r="J30" s="42"/>
    </row>
    <row r="31" spans="1:10" x14ac:dyDescent="0.3">
      <c r="C31" s="2"/>
      <c r="D31" s="2"/>
      <c r="E31" s="2"/>
      <c r="F31" s="559"/>
      <c r="G31" s="559"/>
      <c r="H31" s="2"/>
      <c r="I31" s="2"/>
    </row>
    <row r="32" spans="1:10" ht="27" customHeight="1" x14ac:dyDescent="0.3">
      <c r="A32" s="666" t="s">
        <v>357</v>
      </c>
      <c r="B32" s="655"/>
      <c r="C32" s="3" t="str">
        <f>Annee0</f>
        <v>Année 0</v>
      </c>
      <c r="D32" s="3" t="str">
        <f>Annee1</f>
        <v>Année 1</v>
      </c>
      <c r="E32" s="3" t="str">
        <f>Annee2</f>
        <v>Année 2</v>
      </c>
      <c r="F32" s="516" t="str">
        <f>Annee3</f>
        <v>Année 3</v>
      </c>
      <c r="G32" s="541" t="str">
        <f>Annee4</f>
        <v>Année 4</v>
      </c>
      <c r="H32" s="181" t="s">
        <v>256</v>
      </c>
      <c r="I32" s="4" t="s">
        <v>59</v>
      </c>
    </row>
    <row r="33" spans="1:10" x14ac:dyDescent="0.3">
      <c r="A33" s="669" t="s">
        <v>9</v>
      </c>
      <c r="B33" s="656"/>
      <c r="C33" s="77">
        <v>12</v>
      </c>
      <c r="D33" s="77">
        <v>12</v>
      </c>
      <c r="E33" s="77">
        <v>12</v>
      </c>
      <c r="F33" s="77">
        <v>12</v>
      </c>
      <c r="G33" s="77">
        <v>12</v>
      </c>
      <c r="H33" s="78">
        <f t="shared" ref="H33:H49" si="22">IFERROR(AVERAGE(C33:G33),0)</f>
        <v>12</v>
      </c>
      <c r="I33" s="78">
        <f t="shared" ref="I33:I49" si="23">SUM(C33:G33)</f>
        <v>60</v>
      </c>
    </row>
    <row r="34" spans="1:10" x14ac:dyDescent="0.3">
      <c r="A34" s="50" t="s">
        <v>79</v>
      </c>
      <c r="B34" s="53"/>
      <c r="C34" s="480"/>
      <c r="D34" s="295">
        <f t="shared" ref="D34:E34" si="24">SUM(D35:D39)</f>
        <v>8720550.6513508949</v>
      </c>
      <c r="E34" s="295">
        <f t="shared" si="24"/>
        <v>9112533.2346794289</v>
      </c>
      <c r="F34" s="295">
        <f t="shared" ref="F34" si="25">SUM(F35:F39)</f>
        <v>8690332.2102938071</v>
      </c>
      <c r="G34" s="294">
        <f>SUM(G35:G39)</f>
        <v>9374320.9846146852</v>
      </c>
      <c r="H34" s="54">
        <f t="shared" si="22"/>
        <v>8974434.270234704</v>
      </c>
      <c r="I34" s="54">
        <f t="shared" si="23"/>
        <v>35897737.080938816</v>
      </c>
    </row>
    <row r="35" spans="1:10" x14ac:dyDescent="0.3">
      <c r="A35" s="25" t="s">
        <v>347</v>
      </c>
      <c r="B35" s="55"/>
      <c r="C35" s="501"/>
      <c r="D35" s="349">
        <f>'4b'!D56+'4b'!D65+'4b'!D74+'4b'!D83+'4b'!D92+'4b'!D101+'4b'!D115+'4b'!D124+'4b'!D133</f>
        <v>8551745.0463899542</v>
      </c>
      <c r="E35" s="349">
        <f>'4b'!E56+'4b'!E65+'4b'!E74+'4b'!E83+'4b'!E92+'4b'!E101+'4b'!E115+'4b'!E124+'4b'!E133</f>
        <v>8949380.6563213021</v>
      </c>
      <c r="F35" s="565">
        <f>'4b'!F56+'4b'!F65+'4b'!F74+'4b'!F83+'4b'!F92+'4b'!F101+'4b'!F115+'4b'!F124+'4b'!F133</f>
        <v>8519816.9819381684</v>
      </c>
      <c r="G35" s="348">
        <f>'4b'!G56+'4b'!G65+'4b'!G74+'4b'!G83+'4b'!G92+'4b'!G101+'4b'!G115+'4b'!G124+'4b'!G133</f>
        <v>9197689.4675562941</v>
      </c>
      <c r="H35" s="10">
        <f t="shared" si="22"/>
        <v>8804658.0380514301</v>
      </c>
      <c r="I35" s="56">
        <f t="shared" si="23"/>
        <v>35218632.152205721</v>
      </c>
    </row>
    <row r="36" spans="1:10" x14ac:dyDescent="0.3">
      <c r="A36" s="25" t="s">
        <v>316</v>
      </c>
      <c r="B36" s="55"/>
      <c r="C36" s="501"/>
      <c r="D36" s="349">
        <f>'4b'!D61+'4b'!D70+'4b'!D79+'4b'!D88+'4b'!D97+'4b'!D106+'4b'!D120+'4b'!D129+'4b'!D138</f>
        <v>0</v>
      </c>
      <c r="E36" s="349">
        <f>'4b'!E61+'4b'!E70+'4b'!E79+'4b'!E88+'4b'!E97+'4b'!E106+'4b'!E120+'4b'!E129+'4b'!E138</f>
        <v>0</v>
      </c>
      <c r="F36" s="565">
        <f>'4b'!F61+'4b'!F70+'4b'!F79+'4b'!F88+'4b'!F97+'4b'!F106+'4b'!F120+'4b'!F129+'4b'!F138</f>
        <v>0</v>
      </c>
      <c r="G36" s="348">
        <f>'4b'!G61+'4b'!G70+'4b'!G79+'4b'!G88+'4b'!G97+'4b'!G106+'4b'!G120+'4b'!G129+'4b'!G138</f>
        <v>0</v>
      </c>
      <c r="H36" s="39">
        <f t="shared" si="22"/>
        <v>0</v>
      </c>
      <c r="I36" s="56">
        <f t="shared" si="23"/>
        <v>0</v>
      </c>
    </row>
    <row r="37" spans="1:10" x14ac:dyDescent="0.3">
      <c r="A37" s="25" t="s">
        <v>448</v>
      </c>
      <c r="B37" s="55"/>
      <c r="C37" s="501"/>
      <c r="D37" s="349">
        <f>'4b'!D62+'4b'!D71+'4b'!D80+'4b'!D89+'4b'!D98+'4b'!D107+'4b'!D121+'4b'!D130+'4b'!D139</f>
        <v>0</v>
      </c>
      <c r="E37" s="349">
        <f>'4b'!E62+'4b'!E71+'4b'!E80+'4b'!E89+'4b'!E98+'4b'!E107+'4b'!E121+'4b'!E130+'4b'!E139</f>
        <v>0</v>
      </c>
      <c r="F37" s="565">
        <f>'4b'!F62+'4b'!F71+'4b'!F80+'4b'!F89+'4b'!F98+'4b'!F107+'4b'!F121+'4b'!F130+'4b'!F139</f>
        <v>0</v>
      </c>
      <c r="G37" s="348">
        <f>'4b'!G62+'4b'!G71+'4b'!G80+'4b'!G89+'4b'!G98+'4b'!G107+'4b'!G121+'4b'!G130+'4b'!G139</f>
        <v>0</v>
      </c>
      <c r="H37" s="39">
        <f t="shared" si="22"/>
        <v>0</v>
      </c>
      <c r="I37" s="56">
        <f t="shared" si="23"/>
        <v>0</v>
      </c>
    </row>
    <row r="38" spans="1:10" x14ac:dyDescent="0.3">
      <c r="A38" s="25" t="s">
        <v>351</v>
      </c>
      <c r="B38" s="55"/>
      <c r="C38" s="501"/>
      <c r="D38" s="349">
        <f>'4b'!D63+'4b'!D72+'4b'!D81+'4b'!D90+'4b'!D99+'4b'!D108+'4b'!D122+'4b'!D131+'4b'!D140</f>
        <v>83311.904960942265</v>
      </c>
      <c r="E38" s="349">
        <f>'4b'!E63+'4b'!E72+'4b'!E81+'4b'!E90+'4b'!E99+'4b'!E108+'4b'!E122+'4b'!E131+'4b'!E140</f>
        <v>77658.878358127171</v>
      </c>
      <c r="F38" s="565">
        <f>'4b'!F63+'4b'!F72+'4b'!F81+'4b'!F90+'4b'!F99+'4b'!F108+'4b'!F122+'4b'!F131+'4b'!F140</f>
        <v>85021.528355639646</v>
      </c>
      <c r="G38" s="348">
        <f>'4b'!G63+'4b'!G72+'4b'!G81+'4b'!G90+'4b'!G99+'4b'!G108+'4b'!G122+'4b'!G131+'4b'!G140</f>
        <v>91137.817058391985</v>
      </c>
      <c r="H38" s="39">
        <f t="shared" si="22"/>
        <v>84282.532183275267</v>
      </c>
      <c r="I38" s="56">
        <f t="shared" si="23"/>
        <v>337130.12873310107</v>
      </c>
    </row>
    <row r="39" spans="1:10" s="172" customFormat="1" x14ac:dyDescent="0.3">
      <c r="A39" s="170" t="s">
        <v>286</v>
      </c>
      <c r="B39" s="350"/>
      <c r="C39" s="502"/>
      <c r="D39" s="351">
        <f>'4d'!D23</f>
        <v>85493.700000000012</v>
      </c>
      <c r="E39" s="351">
        <f>'4d'!E23</f>
        <v>85493.700000000012</v>
      </c>
      <c r="F39" s="566">
        <f>'4d'!F23</f>
        <v>85493.700000000012</v>
      </c>
      <c r="G39" s="352">
        <f>'4d'!G23</f>
        <v>85493.700000000012</v>
      </c>
      <c r="H39" s="346">
        <f t="shared" si="22"/>
        <v>85493.700000000012</v>
      </c>
      <c r="I39" s="353">
        <f t="shared" si="23"/>
        <v>341974.80000000005</v>
      </c>
      <c r="J39" s="347"/>
    </row>
    <row r="40" spans="1:10" x14ac:dyDescent="0.3">
      <c r="A40" s="50" t="s">
        <v>10</v>
      </c>
      <c r="B40" s="53"/>
      <c r="C40" s="480"/>
      <c r="D40" s="295">
        <f t="shared" ref="D40:G40" si="26">SUM(D41:D45)</f>
        <v>19887298.501970932</v>
      </c>
      <c r="E40" s="295">
        <f t="shared" si="26"/>
        <v>20064070.726578046</v>
      </c>
      <c r="F40" s="295">
        <f t="shared" ref="F40" si="27">SUM(F41:F45)</f>
        <v>20190985.732001975</v>
      </c>
      <c r="G40" s="294">
        <f t="shared" si="26"/>
        <v>20329618.234348215</v>
      </c>
      <c r="H40" s="54">
        <f t="shared" si="22"/>
        <v>20117993.298724793</v>
      </c>
      <c r="I40" s="54">
        <f t="shared" si="23"/>
        <v>80471973.194899172</v>
      </c>
    </row>
    <row r="41" spans="1:10" x14ac:dyDescent="0.3">
      <c r="A41" s="25" t="s">
        <v>347</v>
      </c>
      <c r="B41" s="55"/>
      <c r="C41" s="501"/>
      <c r="D41" s="349">
        <f>'4b'!D190+'4b'!D191+'4b'!D192+'4b'!D193</f>
        <v>19842710.148632497</v>
      </c>
      <c r="E41" s="349">
        <f>'4b'!E190+'4b'!E191+'4b'!E192+'4b'!E193</f>
        <v>20019095.606593668</v>
      </c>
      <c r="F41" s="565">
        <f>'4b'!F190+'4b'!F191+'4b'!F192+'4b'!F193</f>
        <v>20144417.656193275</v>
      </c>
      <c r="G41" s="348">
        <f>'4b'!G190+'4b'!G191+'4b'!G192+'4b'!G193</f>
        <v>20286890.354287509</v>
      </c>
      <c r="H41" s="10">
        <f t="shared" si="22"/>
        <v>20073278.441426735</v>
      </c>
      <c r="I41" s="56">
        <f t="shared" si="23"/>
        <v>80293113.765706941</v>
      </c>
    </row>
    <row r="42" spans="1:10" x14ac:dyDescent="0.3">
      <c r="A42" s="25" t="s">
        <v>316</v>
      </c>
      <c r="B42" s="55"/>
      <c r="C42" s="501"/>
      <c r="D42" s="349">
        <f>'4b'!D194</f>
        <v>0</v>
      </c>
      <c r="E42" s="349">
        <f>'4b'!E194</f>
        <v>0</v>
      </c>
      <c r="F42" s="565">
        <f>'4b'!F194</f>
        <v>0</v>
      </c>
      <c r="G42" s="348">
        <f>'4b'!G194</f>
        <v>0</v>
      </c>
      <c r="H42" s="39">
        <f t="shared" si="22"/>
        <v>0</v>
      </c>
      <c r="I42" s="56">
        <f t="shared" si="23"/>
        <v>0</v>
      </c>
    </row>
    <row r="43" spans="1:10" x14ac:dyDescent="0.3">
      <c r="A43" s="25" t="s">
        <v>448</v>
      </c>
      <c r="B43" s="55"/>
      <c r="C43" s="501"/>
      <c r="D43" s="349">
        <f>'4b'!D195</f>
        <v>0</v>
      </c>
      <c r="E43" s="349">
        <f>'4b'!E195</f>
        <v>0</v>
      </c>
      <c r="F43" s="565">
        <f>'4b'!F195</f>
        <v>0</v>
      </c>
      <c r="G43" s="348">
        <f>'4b'!G195</f>
        <v>0</v>
      </c>
      <c r="H43" s="39">
        <f t="shared" si="22"/>
        <v>0</v>
      </c>
      <c r="I43" s="56">
        <f t="shared" si="23"/>
        <v>0</v>
      </c>
    </row>
    <row r="44" spans="1:10" x14ac:dyDescent="0.3">
      <c r="A44" s="25" t="s">
        <v>351</v>
      </c>
      <c r="B44" s="55"/>
      <c r="C44" s="501"/>
      <c r="D44" s="349">
        <f>'4b'!D196</f>
        <v>0</v>
      </c>
      <c r="E44" s="349">
        <f>'4b'!E196</f>
        <v>0</v>
      </c>
      <c r="F44" s="565">
        <f>'4b'!F196</f>
        <v>0</v>
      </c>
      <c r="G44" s="348">
        <f>'4b'!G196</f>
        <v>0</v>
      </c>
      <c r="H44" s="39">
        <f t="shared" si="22"/>
        <v>0</v>
      </c>
      <c r="I44" s="56">
        <f t="shared" si="23"/>
        <v>0</v>
      </c>
    </row>
    <row r="45" spans="1:10" s="172" customFormat="1" x14ac:dyDescent="0.3">
      <c r="A45" s="170" t="s">
        <v>80</v>
      </c>
      <c r="B45" s="350"/>
      <c r="C45" s="502"/>
      <c r="D45" s="351">
        <f>'4c'!D25</f>
        <v>44588.353338433473</v>
      </c>
      <c r="E45" s="351">
        <f>'4c'!E25</f>
        <v>44975.119984376302</v>
      </c>
      <c r="F45" s="566">
        <f>'4c'!F25</f>
        <v>46568.075808699527</v>
      </c>
      <c r="G45" s="352">
        <f>'4c'!G25</f>
        <v>42727.88006070476</v>
      </c>
      <c r="H45" s="346">
        <f t="shared" si="22"/>
        <v>44714.85729805351</v>
      </c>
      <c r="I45" s="353">
        <f t="shared" si="23"/>
        <v>178859.42919221404</v>
      </c>
      <c r="J45" s="347"/>
    </row>
    <row r="46" spans="1:10" x14ac:dyDescent="0.3">
      <c r="A46" s="50" t="s">
        <v>288</v>
      </c>
      <c r="B46" s="53"/>
      <c r="C46" s="480"/>
      <c r="D46" s="295">
        <f t="shared" ref="D46:G46" si="28">SUM(D47:D48)</f>
        <v>250184.97</v>
      </c>
      <c r="E46" s="295">
        <f t="shared" si="28"/>
        <v>250584.97</v>
      </c>
      <c r="F46" s="295">
        <f t="shared" ref="F46" si="29">SUM(F47:F48)</f>
        <v>253963.97</v>
      </c>
      <c r="G46" s="294">
        <f t="shared" si="28"/>
        <v>252888.97</v>
      </c>
      <c r="H46" s="54">
        <f t="shared" si="22"/>
        <v>251905.72</v>
      </c>
      <c r="I46" s="54">
        <f t="shared" si="23"/>
        <v>1007622.88</v>
      </c>
    </row>
    <row r="47" spans="1:10" x14ac:dyDescent="0.3">
      <c r="A47" s="25" t="s">
        <v>15</v>
      </c>
      <c r="B47" s="55"/>
      <c r="C47" s="501"/>
      <c r="D47" s="349">
        <f>'4b'!D141</f>
        <v>240000</v>
      </c>
      <c r="E47" s="349">
        <f>'4b'!E141</f>
        <v>240000</v>
      </c>
      <c r="F47" s="565">
        <f>'4b'!F141</f>
        <v>240000</v>
      </c>
      <c r="G47" s="348">
        <f>'4b'!G141</f>
        <v>240000</v>
      </c>
      <c r="H47" s="39">
        <f t="shared" si="22"/>
        <v>240000</v>
      </c>
      <c r="I47" s="56">
        <f t="shared" si="23"/>
        <v>960000</v>
      </c>
    </row>
    <row r="48" spans="1:10" s="172" customFormat="1" x14ac:dyDescent="0.3">
      <c r="A48" s="170" t="s">
        <v>80</v>
      </c>
      <c r="B48" s="350"/>
      <c r="C48" s="502"/>
      <c r="D48" s="351">
        <f>'4c'!D19</f>
        <v>10184.970000000001</v>
      </c>
      <c r="E48" s="351">
        <f>'4c'!E19</f>
        <v>10584.970000000001</v>
      </c>
      <c r="F48" s="566">
        <f>'4c'!F19</f>
        <v>13963.970000000001</v>
      </c>
      <c r="G48" s="352">
        <f>'4c'!G19</f>
        <v>12888.970000000001</v>
      </c>
      <c r="H48" s="346">
        <f t="shared" si="22"/>
        <v>11905.720000000001</v>
      </c>
      <c r="I48" s="353">
        <f t="shared" si="23"/>
        <v>47622.880000000005</v>
      </c>
      <c r="J48" s="347"/>
    </row>
    <row r="49" spans="1:10" s="5" customFormat="1" x14ac:dyDescent="0.3">
      <c r="A49" s="18" t="s">
        <v>7</v>
      </c>
      <c r="B49" s="57"/>
      <c r="C49" s="476"/>
      <c r="D49" s="19">
        <f t="shared" ref="D49:G49" si="30">D34+D40+D46</f>
        <v>28858034.123321824</v>
      </c>
      <c r="E49" s="19">
        <f t="shared" si="30"/>
        <v>29427188.931257471</v>
      </c>
      <c r="F49" s="19">
        <f t="shared" ref="F49" si="31">F34+F40+F46</f>
        <v>29135281.912295781</v>
      </c>
      <c r="G49" s="35">
        <f t="shared" si="30"/>
        <v>29956828.188962899</v>
      </c>
      <c r="H49" s="20">
        <f t="shared" si="22"/>
        <v>29344333.288959496</v>
      </c>
      <c r="I49" s="20">
        <f t="shared" si="23"/>
        <v>117377333.15583798</v>
      </c>
      <c r="J49" s="42"/>
    </row>
    <row r="51" spans="1:10" x14ac:dyDescent="0.3">
      <c r="A51" s="29"/>
      <c r="B51" s="29"/>
      <c r="C51" s="355" t="str">
        <f>IF(C49=C30,"","FAUX")</f>
        <v/>
      </c>
      <c r="D51" s="355" t="str">
        <f>IF(D49=D30,"","FAUX")</f>
        <v/>
      </c>
      <c r="E51" s="355" t="str">
        <f t="shared" ref="E51:I51" si="32">IF(E49=E30,"","FAUX")</f>
        <v/>
      </c>
      <c r="F51" s="355" t="str">
        <f t="shared" ref="F51" si="33">IF(F49=F30,"","FAUX")</f>
        <v/>
      </c>
      <c r="G51" s="355" t="str">
        <f t="shared" si="32"/>
        <v/>
      </c>
      <c r="H51" s="354" t="str">
        <f>IF(H49=H30,"","FAUX")</f>
        <v/>
      </c>
      <c r="I51" s="354" t="str">
        <f t="shared" si="32"/>
        <v/>
      </c>
    </row>
    <row r="52" spans="1:10" x14ac:dyDescent="0.3">
      <c r="E52" s="247"/>
      <c r="F52" s="247"/>
      <c r="G52" s="247"/>
    </row>
    <row r="55" spans="1:10" x14ac:dyDescent="0.3">
      <c r="E55" s="247"/>
    </row>
  </sheetData>
  <mergeCells count="12">
    <mergeCell ref="A1:I1"/>
    <mergeCell ref="B10:B11"/>
    <mergeCell ref="A10:A11"/>
    <mergeCell ref="A32:A33"/>
    <mergeCell ref="B32:B33"/>
    <mergeCell ref="B13:B14"/>
    <mergeCell ref="B16:B17"/>
    <mergeCell ref="B25:B26"/>
    <mergeCell ref="A3:A4"/>
    <mergeCell ref="B3:B4"/>
    <mergeCell ref="B22:B23"/>
    <mergeCell ref="B19:B20"/>
  </mergeCells>
  <phoneticPr fontId="20" type="noConversion"/>
  <printOptions horizontalCentered="1"/>
  <pageMargins left="0.70866141732283472" right="0.70866141732283472" top="0.74803149606299213" bottom="0.74803149606299213" header="0.31496062992125984" footer="0.31496062992125984"/>
  <pageSetup paperSize="9" scale="68" orientation="landscape" r:id="rId1"/>
  <headerFooter>
    <oddHeader>&amp;L&amp;F&amp;R&amp;A</oddHeader>
    <oddFooter>&amp;L&amp;D&amp;C&amp;P/&amp;N&amp;R&amp;T</oddFooter>
  </headerFooter>
  <ignoredErrors>
    <ignoredError sqref="D8:E8 D24:E24 D34:E34 G8 G24" formulaRange="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sheetPr>
  <dimension ref="A1:AF493"/>
  <sheetViews>
    <sheetView showGridLines="0" view="pageBreakPreview" zoomScale="85" zoomScaleNormal="95" zoomScaleSheetLayoutView="85" workbookViewId="0">
      <selection sqref="A1:I1"/>
    </sheetView>
  </sheetViews>
  <sheetFormatPr baseColWidth="10" defaultColWidth="11.26953125" defaultRowHeight="13" x14ac:dyDescent="0.3"/>
  <cols>
    <col min="1" max="1" width="47.81640625" style="2" bestFit="1" customWidth="1"/>
    <col min="2" max="2" width="10.26953125" style="2" customWidth="1"/>
    <col min="3" max="3" width="10.453125" style="11" customWidth="1"/>
    <col min="4" max="7" width="10.81640625" style="11" customWidth="1"/>
    <col min="8" max="8" width="10.26953125" style="11" customWidth="1"/>
    <col min="9" max="9" width="10.81640625" style="11" bestFit="1" customWidth="1"/>
    <col min="10" max="10" width="6.7265625" style="11" customWidth="1"/>
    <col min="11" max="11" width="20.81640625" style="11" bestFit="1" customWidth="1"/>
    <col min="12" max="13" width="6.7265625" style="11" customWidth="1"/>
    <col min="14" max="16384" width="11.26953125" style="2"/>
  </cols>
  <sheetData>
    <row r="1" spans="1:32" ht="30" customHeight="1" x14ac:dyDescent="0.3">
      <c r="A1" s="658" t="s">
        <v>345</v>
      </c>
      <c r="B1" s="664"/>
      <c r="C1" s="664"/>
      <c r="D1" s="664"/>
      <c r="E1" s="664"/>
      <c r="F1" s="664"/>
      <c r="G1" s="664"/>
      <c r="H1" s="664"/>
      <c r="I1" s="665"/>
      <c r="J1" s="213"/>
      <c r="K1" s="194" t="s">
        <v>289</v>
      </c>
      <c r="L1" s="213"/>
      <c r="M1" s="213"/>
    </row>
    <row r="2" spans="1:32" x14ac:dyDescent="0.3">
      <c r="C2" s="2"/>
      <c r="D2" s="2"/>
      <c r="E2" s="2"/>
      <c r="F2" s="2"/>
      <c r="G2" s="2"/>
      <c r="H2" s="2"/>
      <c r="I2" s="2"/>
      <c r="J2" s="2"/>
      <c r="K2" s="2"/>
      <c r="L2" s="2"/>
      <c r="M2" s="2"/>
    </row>
    <row r="3" spans="1:32" x14ac:dyDescent="0.3">
      <c r="A3" s="21" t="s">
        <v>72</v>
      </c>
      <c r="B3" s="154"/>
      <c r="C3" s="155"/>
      <c r="D3" s="155"/>
      <c r="E3" s="155"/>
      <c r="F3" s="155"/>
      <c r="G3" s="155"/>
      <c r="H3" s="155"/>
      <c r="I3" s="155"/>
      <c r="J3" s="155"/>
      <c r="K3" s="156"/>
      <c r="N3" s="11"/>
      <c r="O3" s="11"/>
    </row>
    <row r="4" spans="1:32" x14ac:dyDescent="0.3">
      <c r="F4" s="2"/>
      <c r="G4" s="2"/>
      <c r="H4" s="2"/>
      <c r="I4" s="2"/>
      <c r="J4" s="2"/>
      <c r="K4" s="2"/>
      <c r="L4" s="2"/>
      <c r="M4" s="2"/>
    </row>
    <row r="5" spans="1:32" x14ac:dyDescent="0.3">
      <c r="A5" s="42" t="s">
        <v>69</v>
      </c>
      <c r="B5" s="43"/>
      <c r="C5" s="44"/>
      <c r="D5" s="44"/>
      <c r="E5" s="44"/>
      <c r="F5" s="44"/>
      <c r="G5" s="44"/>
      <c r="H5" s="44"/>
      <c r="I5" s="44"/>
      <c r="J5" s="44"/>
      <c r="K5" s="44"/>
    </row>
    <row r="6" spans="1:32" x14ac:dyDescent="0.3">
      <c r="F6" s="2"/>
      <c r="G6" s="2"/>
      <c r="H6" s="2"/>
      <c r="I6" s="2"/>
      <c r="J6" s="2"/>
      <c r="K6" s="2"/>
      <c r="L6" s="2"/>
      <c r="M6" s="2"/>
      <c r="AA6" s="31"/>
      <c r="AB6" s="31"/>
      <c r="AC6" s="31"/>
      <c r="AD6" s="31"/>
      <c r="AE6" s="31"/>
      <c r="AF6" s="31"/>
    </row>
    <row r="7" spans="1:32" ht="27.65" customHeight="1" x14ac:dyDescent="0.3">
      <c r="A7" s="666" t="s">
        <v>333</v>
      </c>
      <c r="B7" s="655"/>
      <c r="C7" s="3" t="str">
        <f>Annee0</f>
        <v>Année 0</v>
      </c>
      <c r="D7" s="3" t="str">
        <f>Annee1</f>
        <v>Année 1</v>
      </c>
      <c r="E7" s="3" t="str">
        <f>Annee2</f>
        <v>Année 2</v>
      </c>
      <c r="F7" s="3" t="str">
        <f>Annee3</f>
        <v>Année 3</v>
      </c>
      <c r="G7" s="3" t="str">
        <f>Annee4</f>
        <v>Année 4</v>
      </c>
      <c r="H7" s="514" t="s">
        <v>256</v>
      </c>
      <c r="I7" s="4" t="s">
        <v>59</v>
      </c>
      <c r="K7" s="661" t="s">
        <v>290</v>
      </c>
      <c r="S7" s="5"/>
      <c r="T7" s="5"/>
      <c r="U7" s="5"/>
      <c r="V7" s="5"/>
      <c r="W7" s="5"/>
      <c r="AA7" s="6"/>
      <c r="AB7" s="6"/>
      <c r="AC7" s="6"/>
      <c r="AD7" s="6"/>
      <c r="AE7" s="6"/>
      <c r="AF7" s="6"/>
    </row>
    <row r="8" spans="1:32" x14ac:dyDescent="0.3">
      <c r="A8" s="667"/>
      <c r="B8" s="656"/>
      <c r="C8" s="77">
        <v>12</v>
      </c>
      <c r="D8" s="77">
        <v>12</v>
      </c>
      <c r="E8" s="77">
        <v>12</v>
      </c>
      <c r="F8" s="77">
        <v>12</v>
      </c>
      <c r="G8" s="77">
        <v>12</v>
      </c>
      <c r="H8" s="78">
        <f t="shared" ref="H8:H39" si="0">IFERROR(AVERAGE(C8:G8),0)</f>
        <v>12</v>
      </c>
      <c r="I8" s="78">
        <f t="shared" ref="I8:I39" si="1">SUM(C8:G8)</f>
        <v>60</v>
      </c>
      <c r="J8" s="2"/>
      <c r="K8" s="674"/>
      <c r="L8" s="2"/>
      <c r="M8" s="2"/>
      <c r="S8" s="5"/>
      <c r="T8" s="5"/>
      <c r="U8" s="5"/>
      <c r="V8" s="5"/>
      <c r="W8" s="5"/>
      <c r="AA8" s="11"/>
      <c r="AB8" s="11"/>
      <c r="AC8" s="11"/>
      <c r="AD8" s="11"/>
      <c r="AE8" s="11"/>
      <c r="AF8" s="11"/>
    </row>
    <row r="9" spans="1:32" x14ac:dyDescent="0.3">
      <c r="A9" s="115" t="s">
        <v>283</v>
      </c>
      <c r="B9" s="53"/>
      <c r="C9" s="474"/>
      <c r="D9" s="223">
        <f t="shared" ref="D9:G9" si="2">D10+D15+D20+D25+D30+D35</f>
        <v>7495136.6459740121</v>
      </c>
      <c r="E9" s="223">
        <f t="shared" si="2"/>
        <v>7495136.6459740074</v>
      </c>
      <c r="F9" s="223">
        <f t="shared" ref="F9" si="3">F10+F15+F20+F25+F30+F35</f>
        <v>7495136.6459740084</v>
      </c>
      <c r="G9" s="223">
        <f t="shared" si="2"/>
        <v>7495136.645974013</v>
      </c>
      <c r="H9" s="300">
        <f t="shared" si="0"/>
        <v>7495136.6459740112</v>
      </c>
      <c r="I9" s="300">
        <f t="shared" si="1"/>
        <v>29980546.583896045</v>
      </c>
      <c r="J9" s="2"/>
      <c r="K9" s="197"/>
      <c r="L9" s="2"/>
      <c r="M9" s="2"/>
      <c r="AA9" s="11"/>
      <c r="AB9" s="11"/>
      <c r="AC9" s="11"/>
      <c r="AD9" s="11"/>
      <c r="AE9" s="11"/>
      <c r="AF9" s="11"/>
    </row>
    <row r="10" spans="1:32" x14ac:dyDescent="0.3">
      <c r="A10" s="116" t="s">
        <v>258</v>
      </c>
      <c r="B10" s="310"/>
      <c r="C10" s="499"/>
      <c r="D10" s="297">
        <f>SUM(D11:D14)</f>
        <v>4554022.0439140042</v>
      </c>
      <c r="E10" s="297">
        <f>SUM(E11:E14)</f>
        <v>4554022.0439139986</v>
      </c>
      <c r="F10" s="297">
        <f t="shared" ref="F10:G10" si="4">SUM(F11:F14)</f>
        <v>4554022.0439139996</v>
      </c>
      <c r="G10" s="297">
        <f t="shared" si="4"/>
        <v>4554022.0439140052</v>
      </c>
      <c r="H10" s="62">
        <f t="shared" si="0"/>
        <v>4554022.0439140014</v>
      </c>
      <c r="I10" s="62">
        <f t="shared" si="1"/>
        <v>18216088.175656006</v>
      </c>
      <c r="J10" s="2"/>
      <c r="K10" s="189"/>
      <c r="L10" s="2"/>
      <c r="M10" s="2"/>
      <c r="AA10" s="11"/>
      <c r="AB10" s="11"/>
      <c r="AC10" s="11"/>
      <c r="AD10" s="11"/>
      <c r="AE10" s="11"/>
      <c r="AF10" s="11"/>
    </row>
    <row r="11" spans="1:32" x14ac:dyDescent="0.3">
      <c r="A11" s="36" t="s">
        <v>463</v>
      </c>
      <c r="B11" s="37"/>
      <c r="C11" s="497"/>
      <c r="D11" s="320">
        <v>1143754.3432749859</v>
      </c>
      <c r="E11" s="320">
        <v>853107.68527343299</v>
      </c>
      <c r="F11" s="320">
        <v>585804.25053271651</v>
      </c>
      <c r="G11" s="320">
        <v>314096.60528410948</v>
      </c>
      <c r="H11" s="520">
        <f t="shared" si="0"/>
        <v>724190.72109131119</v>
      </c>
      <c r="I11" s="39">
        <f t="shared" si="1"/>
        <v>2896762.8843652448</v>
      </c>
      <c r="J11" s="2"/>
      <c r="K11" s="188"/>
      <c r="L11" s="2"/>
      <c r="M11" s="2"/>
      <c r="S11" s="523"/>
      <c r="T11" s="523"/>
      <c r="U11" s="523"/>
      <c r="V11" s="523"/>
      <c r="Y11" s="524"/>
      <c r="AA11" s="11"/>
      <c r="AB11" s="11"/>
      <c r="AC11" s="11"/>
      <c r="AD11" s="11"/>
      <c r="AE11" s="11"/>
      <c r="AF11" s="11"/>
    </row>
    <row r="12" spans="1:32" ht="13.15" customHeight="1" x14ac:dyDescent="0.3">
      <c r="A12" s="36" t="s">
        <v>464</v>
      </c>
      <c r="B12" s="37"/>
      <c r="C12" s="497"/>
      <c r="D12" s="319">
        <v>1303385.0678285095</v>
      </c>
      <c r="E12" s="319">
        <v>1323228.9287170963</v>
      </c>
      <c r="F12" s="319">
        <v>1337393.1081968541</v>
      </c>
      <c r="G12" s="319">
        <v>1330700.2221987071</v>
      </c>
      <c r="H12" s="520">
        <f t="shared" si="0"/>
        <v>1323676.8317352918</v>
      </c>
      <c r="I12" s="39">
        <f t="shared" si="1"/>
        <v>5294707.326941167</v>
      </c>
      <c r="J12" s="2"/>
      <c r="K12" s="189"/>
      <c r="L12" s="2"/>
      <c r="M12" s="2"/>
      <c r="S12" s="523"/>
      <c r="T12" s="523"/>
      <c r="U12" s="523"/>
      <c r="V12" s="523"/>
      <c r="Y12" s="524"/>
      <c r="AA12" s="11"/>
      <c r="AB12" s="11"/>
      <c r="AC12" s="11"/>
      <c r="AD12" s="11"/>
      <c r="AE12" s="11"/>
      <c r="AF12" s="11"/>
    </row>
    <row r="13" spans="1:32" x14ac:dyDescent="0.3">
      <c r="A13" s="36" t="s">
        <v>465</v>
      </c>
      <c r="B13" s="37"/>
      <c r="C13" s="497"/>
      <c r="D13" s="319">
        <v>310415.86899999843</v>
      </c>
      <c r="E13" s="319">
        <v>310415.86899999843</v>
      </c>
      <c r="F13" s="319">
        <v>310415.86899999843</v>
      </c>
      <c r="G13" s="319">
        <v>310415.86899999843</v>
      </c>
      <c r="H13" s="520">
        <f t="shared" si="0"/>
        <v>310415.86899999843</v>
      </c>
      <c r="I13" s="39">
        <f t="shared" si="1"/>
        <v>1241663.4759999937</v>
      </c>
      <c r="J13" s="2"/>
      <c r="K13" s="189"/>
      <c r="L13" s="2"/>
      <c r="M13" s="2"/>
      <c r="S13" s="523"/>
      <c r="T13" s="523"/>
      <c r="U13" s="523"/>
      <c r="V13" s="523"/>
      <c r="Y13" s="524"/>
      <c r="AA13" s="11"/>
      <c r="AB13" s="11"/>
      <c r="AC13" s="11"/>
      <c r="AD13" s="11"/>
      <c r="AE13" s="11"/>
      <c r="AF13" s="11"/>
    </row>
    <row r="14" spans="1:32" x14ac:dyDescent="0.3">
      <c r="A14" s="36" t="s">
        <v>466</v>
      </c>
      <c r="B14" s="37"/>
      <c r="C14" s="497"/>
      <c r="D14" s="319">
        <v>1796466.7638105105</v>
      </c>
      <c r="E14" s="319">
        <v>2067269.5609234704</v>
      </c>
      <c r="F14" s="319">
        <v>2320408.8161844304</v>
      </c>
      <c r="G14" s="319">
        <v>2598809.3474311903</v>
      </c>
      <c r="H14" s="520">
        <f t="shared" si="0"/>
        <v>2195738.6220874004</v>
      </c>
      <c r="I14" s="39">
        <f t="shared" si="1"/>
        <v>8782954.4883496016</v>
      </c>
      <c r="J14" s="2"/>
      <c r="K14" s="189"/>
      <c r="L14" s="2"/>
      <c r="M14" s="2"/>
      <c r="S14" s="523"/>
      <c r="T14" s="523"/>
      <c r="U14" s="523"/>
      <c r="V14" s="523"/>
      <c r="Y14" s="524"/>
      <c r="AA14" s="11"/>
      <c r="AB14" s="11"/>
      <c r="AC14" s="11"/>
      <c r="AD14" s="11"/>
      <c r="AE14" s="11"/>
      <c r="AF14" s="11"/>
    </row>
    <row r="15" spans="1:32" x14ac:dyDescent="0.3">
      <c r="A15" s="116" t="s">
        <v>467</v>
      </c>
      <c r="B15" s="310"/>
      <c r="C15" s="499"/>
      <c r="D15" s="297">
        <f>SUM(D16:D19)</f>
        <v>2248722.3580600303</v>
      </c>
      <c r="E15" s="297">
        <f t="shared" ref="E15:G15" si="5">SUM(E16:E19)</f>
        <v>2248722.3580600303</v>
      </c>
      <c r="F15" s="297">
        <f t="shared" si="5"/>
        <v>2248722.3580600303</v>
      </c>
      <c r="G15" s="297">
        <f t="shared" si="5"/>
        <v>2248722.3580600303</v>
      </c>
      <c r="H15" s="62">
        <f t="shared" si="0"/>
        <v>2248722.3580600303</v>
      </c>
      <c r="I15" s="62">
        <f t="shared" si="1"/>
        <v>8994889.4322401211</v>
      </c>
      <c r="J15" s="2"/>
      <c r="K15" s="197"/>
      <c r="L15" s="2"/>
      <c r="M15" s="2"/>
      <c r="S15" s="523"/>
      <c r="T15" s="523"/>
      <c r="U15" s="523"/>
      <c r="V15" s="523"/>
      <c r="Y15" s="524"/>
      <c r="AA15" s="11"/>
      <c r="AB15" s="11"/>
      <c r="AC15" s="11"/>
      <c r="AD15" s="11"/>
      <c r="AE15" s="11"/>
      <c r="AF15" s="11"/>
    </row>
    <row r="16" spans="1:32" x14ac:dyDescent="0.3">
      <c r="A16" s="36" t="s">
        <v>463</v>
      </c>
      <c r="B16" s="37"/>
      <c r="C16" s="497"/>
      <c r="D16" s="319">
        <v>0</v>
      </c>
      <c r="E16" s="319">
        <v>0</v>
      </c>
      <c r="F16" s="319">
        <v>0</v>
      </c>
      <c r="G16" s="319">
        <v>0</v>
      </c>
      <c r="H16" s="520">
        <f t="shared" si="0"/>
        <v>0</v>
      </c>
      <c r="I16" s="39">
        <f t="shared" si="1"/>
        <v>0</v>
      </c>
      <c r="J16" s="2"/>
      <c r="K16" s="189"/>
      <c r="L16" s="2"/>
      <c r="M16" s="2"/>
      <c r="S16" s="523"/>
      <c r="T16" s="523"/>
      <c r="U16" s="523"/>
      <c r="V16" s="523"/>
      <c r="Y16" s="524"/>
      <c r="AA16" s="11"/>
      <c r="AB16" s="11"/>
      <c r="AC16" s="11"/>
      <c r="AD16" s="11"/>
      <c r="AE16" s="11"/>
      <c r="AF16" s="11"/>
    </row>
    <row r="17" spans="1:32" x14ac:dyDescent="0.3">
      <c r="A17" s="36" t="s">
        <v>464</v>
      </c>
      <c r="B17" s="37"/>
      <c r="C17" s="497"/>
      <c r="D17" s="319">
        <v>2248722.3580600303</v>
      </c>
      <c r="E17" s="319">
        <v>2248722.3580600303</v>
      </c>
      <c r="F17" s="319">
        <v>2248722.3580600303</v>
      </c>
      <c r="G17" s="319">
        <v>2248722.3580600303</v>
      </c>
      <c r="H17" s="520">
        <f t="shared" si="0"/>
        <v>2248722.3580600303</v>
      </c>
      <c r="I17" s="39">
        <f t="shared" si="1"/>
        <v>8994889.4322401211</v>
      </c>
      <c r="J17" s="2"/>
      <c r="K17" s="189"/>
      <c r="L17" s="2"/>
      <c r="M17" s="2"/>
      <c r="S17" s="523"/>
      <c r="T17" s="523"/>
      <c r="U17" s="523"/>
      <c r="V17" s="523"/>
      <c r="Y17" s="524"/>
    </row>
    <row r="18" spans="1:32" x14ac:dyDescent="0.3">
      <c r="A18" s="36" t="s">
        <v>465</v>
      </c>
      <c r="B18" s="37"/>
      <c r="C18" s="497"/>
      <c r="D18" s="319">
        <v>0</v>
      </c>
      <c r="E18" s="319">
        <v>0</v>
      </c>
      <c r="F18" s="319">
        <v>0</v>
      </c>
      <c r="G18" s="319">
        <v>0</v>
      </c>
      <c r="H18" s="520">
        <f t="shared" si="0"/>
        <v>0</v>
      </c>
      <c r="I18" s="39">
        <f t="shared" si="1"/>
        <v>0</v>
      </c>
      <c r="J18" s="2"/>
      <c r="K18" s="189"/>
      <c r="L18" s="2"/>
      <c r="M18" s="2"/>
      <c r="S18" s="523"/>
      <c r="T18" s="523"/>
      <c r="U18" s="523"/>
      <c r="V18" s="523"/>
      <c r="Y18" s="524"/>
    </row>
    <row r="19" spans="1:32" x14ac:dyDescent="0.3">
      <c r="A19" s="36" t="s">
        <v>466</v>
      </c>
      <c r="B19" s="37"/>
      <c r="C19" s="496"/>
      <c r="D19" s="322">
        <v>0</v>
      </c>
      <c r="E19" s="322">
        <v>0</v>
      </c>
      <c r="F19" s="322">
        <v>0</v>
      </c>
      <c r="G19" s="322">
        <v>0</v>
      </c>
      <c r="H19" s="520">
        <f t="shared" si="0"/>
        <v>0</v>
      </c>
      <c r="I19" s="39">
        <f t="shared" si="1"/>
        <v>0</v>
      </c>
      <c r="J19" s="2"/>
      <c r="K19" s="189"/>
      <c r="L19" s="2"/>
      <c r="M19" s="2"/>
      <c r="S19" s="523"/>
      <c r="T19" s="523"/>
      <c r="U19" s="523"/>
      <c r="V19" s="523"/>
      <c r="Y19" s="524"/>
    </row>
    <row r="20" spans="1:32" x14ac:dyDescent="0.3">
      <c r="A20" s="116" t="s">
        <v>468</v>
      </c>
      <c r="B20" s="310"/>
      <c r="C20" s="499"/>
      <c r="D20" s="297">
        <f>SUM(D21:D24)</f>
        <v>0</v>
      </c>
      <c r="E20" s="297">
        <f t="shared" ref="E20:G20" si="6">SUM(E21:E24)</f>
        <v>0</v>
      </c>
      <c r="F20" s="297">
        <f t="shared" si="6"/>
        <v>0</v>
      </c>
      <c r="G20" s="297">
        <f t="shared" si="6"/>
        <v>0</v>
      </c>
      <c r="H20" s="62">
        <f t="shared" si="0"/>
        <v>0</v>
      </c>
      <c r="I20" s="62">
        <f t="shared" si="1"/>
        <v>0</v>
      </c>
      <c r="J20" s="2"/>
      <c r="K20" s="189"/>
      <c r="L20" s="2"/>
      <c r="M20" s="2"/>
      <c r="S20" s="523"/>
      <c r="T20" s="523"/>
      <c r="U20" s="523"/>
      <c r="V20" s="523"/>
      <c r="Y20" s="524"/>
    </row>
    <row r="21" spans="1:32" x14ac:dyDescent="0.3">
      <c r="A21" s="36" t="s">
        <v>463</v>
      </c>
      <c r="B21" s="37"/>
      <c r="C21" s="497"/>
      <c r="D21" s="320">
        <v>0</v>
      </c>
      <c r="E21" s="320">
        <v>0</v>
      </c>
      <c r="F21" s="320">
        <v>0</v>
      </c>
      <c r="G21" s="320">
        <v>0</v>
      </c>
      <c r="H21" s="520">
        <f t="shared" si="0"/>
        <v>0</v>
      </c>
      <c r="I21" s="39">
        <f t="shared" si="1"/>
        <v>0</v>
      </c>
      <c r="J21" s="2"/>
      <c r="K21" s="188"/>
      <c r="L21" s="2"/>
      <c r="M21" s="2"/>
      <c r="S21" s="523"/>
      <c r="T21" s="523"/>
      <c r="U21" s="523"/>
      <c r="V21" s="523"/>
      <c r="Y21" s="524"/>
    </row>
    <row r="22" spans="1:32" ht="13.15" customHeight="1" x14ac:dyDescent="0.3">
      <c r="A22" s="36" t="s">
        <v>464</v>
      </c>
      <c r="B22" s="37"/>
      <c r="C22" s="497"/>
      <c r="D22" s="319">
        <v>0</v>
      </c>
      <c r="E22" s="319">
        <v>0</v>
      </c>
      <c r="F22" s="319">
        <v>0</v>
      </c>
      <c r="G22" s="319">
        <v>0</v>
      </c>
      <c r="H22" s="520">
        <f t="shared" si="0"/>
        <v>0</v>
      </c>
      <c r="I22" s="39">
        <f t="shared" si="1"/>
        <v>0</v>
      </c>
      <c r="J22" s="2"/>
      <c r="K22" s="189"/>
      <c r="L22" s="2"/>
      <c r="M22" s="2"/>
      <c r="P22" s="172"/>
      <c r="S22" s="523"/>
      <c r="T22" s="523"/>
      <c r="U22" s="523"/>
      <c r="V22" s="523"/>
      <c r="Y22" s="524"/>
    </row>
    <row r="23" spans="1:32" x14ac:dyDescent="0.3">
      <c r="A23" s="36" t="s">
        <v>465</v>
      </c>
      <c r="B23" s="37"/>
      <c r="C23" s="497"/>
      <c r="D23" s="319">
        <v>0</v>
      </c>
      <c r="E23" s="319">
        <v>0</v>
      </c>
      <c r="F23" s="319">
        <v>0</v>
      </c>
      <c r="G23" s="319">
        <v>0</v>
      </c>
      <c r="H23" s="520">
        <f t="shared" si="0"/>
        <v>0</v>
      </c>
      <c r="I23" s="39">
        <f t="shared" si="1"/>
        <v>0</v>
      </c>
      <c r="J23" s="2"/>
      <c r="K23" s="189"/>
      <c r="L23" s="2"/>
      <c r="M23" s="2"/>
      <c r="S23" s="523"/>
      <c r="T23" s="523"/>
      <c r="U23" s="523"/>
      <c r="V23" s="523"/>
      <c r="Y23" s="524"/>
    </row>
    <row r="24" spans="1:32" x14ac:dyDescent="0.3">
      <c r="A24" s="36" t="s">
        <v>466</v>
      </c>
      <c r="B24" s="37"/>
      <c r="C24" s="497"/>
      <c r="D24" s="319">
        <v>0</v>
      </c>
      <c r="E24" s="319">
        <v>0</v>
      </c>
      <c r="F24" s="319">
        <v>0</v>
      </c>
      <c r="G24" s="319">
        <v>0</v>
      </c>
      <c r="H24" s="520">
        <f t="shared" si="0"/>
        <v>0</v>
      </c>
      <c r="I24" s="39">
        <f t="shared" si="1"/>
        <v>0</v>
      </c>
      <c r="J24" s="2"/>
      <c r="K24" s="189"/>
      <c r="L24" s="2"/>
      <c r="M24" s="2"/>
      <c r="S24" s="523"/>
      <c r="T24" s="523"/>
      <c r="U24" s="523"/>
      <c r="V24" s="523"/>
      <c r="Y24" s="524"/>
      <c r="AA24" s="6"/>
      <c r="AB24" s="6"/>
      <c r="AC24" s="6"/>
      <c r="AD24" s="6"/>
      <c r="AE24" s="6"/>
      <c r="AF24" s="6"/>
    </row>
    <row r="25" spans="1:32" x14ac:dyDescent="0.3">
      <c r="A25" s="116" t="s">
        <v>257</v>
      </c>
      <c r="B25" s="310"/>
      <c r="C25" s="499"/>
      <c r="D25" s="297">
        <f>SUM(D26:D29)</f>
        <v>146411.55000000002</v>
      </c>
      <c r="E25" s="297">
        <f t="shared" ref="E25:G25" si="7">SUM(E26:E29)</f>
        <v>210398.3345104027</v>
      </c>
      <c r="F25" s="297">
        <f t="shared" si="7"/>
        <v>255607.68879999564</v>
      </c>
      <c r="G25" s="297">
        <f t="shared" si="7"/>
        <v>276924.46607851924</v>
      </c>
      <c r="H25" s="62">
        <f t="shared" si="0"/>
        <v>222335.50984722938</v>
      </c>
      <c r="I25" s="62">
        <f t="shared" si="1"/>
        <v>889342.0393889175</v>
      </c>
      <c r="J25" s="2"/>
      <c r="K25" s="197"/>
      <c r="L25" s="2"/>
      <c r="M25" s="2"/>
      <c r="S25" s="523"/>
      <c r="T25" s="523"/>
      <c r="U25" s="523"/>
      <c r="V25" s="523"/>
      <c r="Y25" s="524"/>
      <c r="AA25" s="11"/>
      <c r="AB25" s="11"/>
      <c r="AC25" s="11"/>
      <c r="AD25" s="11"/>
      <c r="AE25" s="11"/>
      <c r="AF25" s="11"/>
    </row>
    <row r="26" spans="1:32" x14ac:dyDescent="0.3">
      <c r="A26" s="36" t="s">
        <v>463</v>
      </c>
      <c r="B26" s="37"/>
      <c r="C26" s="497"/>
      <c r="D26" s="319">
        <v>146411.55000000002</v>
      </c>
      <c r="E26" s="319">
        <v>146411.55000000002</v>
      </c>
      <c r="F26" s="319">
        <v>146411.55000000002</v>
      </c>
      <c r="G26" s="319">
        <v>146411.55000000002</v>
      </c>
      <c r="H26" s="520">
        <f t="shared" si="0"/>
        <v>146411.55000000002</v>
      </c>
      <c r="I26" s="39">
        <f t="shared" si="1"/>
        <v>585646.20000000007</v>
      </c>
      <c r="J26" s="2"/>
      <c r="K26" s="189"/>
      <c r="L26" s="2"/>
      <c r="M26" s="2"/>
      <c r="S26" s="523"/>
      <c r="T26" s="523"/>
      <c r="U26" s="523"/>
      <c r="V26" s="523"/>
      <c r="Y26" s="524"/>
      <c r="AA26" s="11"/>
      <c r="AB26" s="11"/>
      <c r="AC26" s="11"/>
      <c r="AD26" s="11"/>
      <c r="AE26" s="11"/>
      <c r="AF26" s="11"/>
    </row>
    <row r="27" spans="1:32" x14ac:dyDescent="0.3">
      <c r="A27" s="36" t="s">
        <v>464</v>
      </c>
      <c r="B27" s="37"/>
      <c r="C27" s="497"/>
      <c r="D27" s="319">
        <v>0</v>
      </c>
      <c r="E27" s="319">
        <v>0</v>
      </c>
      <c r="F27" s="319">
        <v>0</v>
      </c>
      <c r="G27" s="319">
        <v>0</v>
      </c>
      <c r="H27" s="520">
        <f t="shared" si="0"/>
        <v>0</v>
      </c>
      <c r="I27" s="39">
        <f t="shared" si="1"/>
        <v>0</v>
      </c>
      <c r="J27" s="2"/>
      <c r="K27" s="189"/>
      <c r="L27" s="2"/>
      <c r="M27" s="2"/>
      <c r="S27" s="523"/>
      <c r="T27" s="523"/>
      <c r="U27" s="523"/>
      <c r="V27" s="523"/>
      <c r="Y27" s="524"/>
      <c r="AA27" s="11"/>
      <c r="AB27" s="11"/>
      <c r="AC27" s="11"/>
      <c r="AD27" s="11"/>
      <c r="AE27" s="11"/>
      <c r="AF27" s="11"/>
    </row>
    <row r="28" spans="1:32" x14ac:dyDescent="0.3">
      <c r="A28" s="36" t="s">
        <v>465</v>
      </c>
      <c r="B28" s="37"/>
      <c r="C28" s="497"/>
      <c r="D28" s="319">
        <v>0</v>
      </c>
      <c r="E28" s="319">
        <v>0</v>
      </c>
      <c r="F28" s="319">
        <v>0</v>
      </c>
      <c r="G28" s="319">
        <v>0</v>
      </c>
      <c r="H28" s="520">
        <f t="shared" si="0"/>
        <v>0</v>
      </c>
      <c r="I28" s="39">
        <f t="shared" si="1"/>
        <v>0</v>
      </c>
      <c r="J28" s="2"/>
      <c r="K28" s="189"/>
      <c r="L28" s="2"/>
      <c r="M28" s="2"/>
      <c r="S28" s="523"/>
      <c r="T28" s="523"/>
      <c r="U28" s="523"/>
      <c r="V28" s="523"/>
      <c r="Y28" s="524"/>
      <c r="AA28" s="11"/>
      <c r="AB28" s="11"/>
      <c r="AC28" s="11"/>
      <c r="AD28" s="11"/>
      <c r="AE28" s="11"/>
      <c r="AF28" s="11"/>
    </row>
    <row r="29" spans="1:32" x14ac:dyDescent="0.3">
      <c r="A29" s="36" t="s">
        <v>466</v>
      </c>
      <c r="B29" s="37"/>
      <c r="C29" s="496"/>
      <c r="D29" s="322">
        <v>0</v>
      </c>
      <c r="E29" s="322">
        <v>63986.784510402664</v>
      </c>
      <c r="F29" s="322">
        <v>109196.13879999564</v>
      </c>
      <c r="G29" s="322">
        <v>130512.91607851925</v>
      </c>
      <c r="H29" s="520">
        <f t="shared" si="0"/>
        <v>75923.959847229387</v>
      </c>
      <c r="I29" s="39">
        <f t="shared" si="1"/>
        <v>303695.83938891755</v>
      </c>
      <c r="J29" s="2"/>
      <c r="K29" s="189"/>
      <c r="L29" s="2"/>
      <c r="M29" s="2"/>
      <c r="S29" s="523"/>
      <c r="T29" s="523"/>
      <c r="U29" s="523"/>
      <c r="V29" s="523"/>
      <c r="Y29" s="524"/>
      <c r="AA29" s="11"/>
      <c r="AB29" s="11"/>
      <c r="AC29" s="11"/>
      <c r="AD29" s="11"/>
      <c r="AE29" s="11"/>
      <c r="AF29" s="11"/>
    </row>
    <row r="30" spans="1:32" x14ac:dyDescent="0.3">
      <c r="A30" s="116" t="s">
        <v>259</v>
      </c>
      <c r="B30" s="310"/>
      <c r="C30" s="499"/>
      <c r="D30" s="297">
        <f>SUM(D31:D34)</f>
        <v>545980.69399997813</v>
      </c>
      <c r="E30" s="297">
        <f t="shared" ref="E30:G30" si="8">SUM(E31:E34)</f>
        <v>481993.90948957542</v>
      </c>
      <c r="F30" s="297">
        <f t="shared" si="8"/>
        <v>436784.55519998248</v>
      </c>
      <c r="G30" s="297">
        <f t="shared" si="8"/>
        <v>415467.77792145894</v>
      </c>
      <c r="H30" s="62">
        <f t="shared" si="0"/>
        <v>470056.73415274877</v>
      </c>
      <c r="I30" s="62">
        <f t="shared" si="1"/>
        <v>1880226.9366109951</v>
      </c>
      <c r="J30" s="2"/>
      <c r="K30" s="189"/>
      <c r="L30" s="2"/>
      <c r="M30" s="2"/>
      <c r="S30" s="523"/>
      <c r="T30" s="523"/>
      <c r="U30" s="523"/>
      <c r="V30" s="523"/>
      <c r="Y30" s="524"/>
      <c r="AA30" s="11"/>
      <c r="AB30" s="11"/>
      <c r="AC30" s="11"/>
      <c r="AD30" s="11"/>
      <c r="AE30" s="11"/>
      <c r="AF30" s="11"/>
    </row>
    <row r="31" spans="1:32" x14ac:dyDescent="0.3">
      <c r="A31" s="36" t="s">
        <v>463</v>
      </c>
      <c r="B31" s="37"/>
      <c r="C31" s="497"/>
      <c r="D31" s="320">
        <v>181993.56466665937</v>
      </c>
      <c r="E31" s="320">
        <v>118206.11593354767</v>
      </c>
      <c r="F31" s="320">
        <v>72797.425866663747</v>
      </c>
      <c r="G31" s="320">
        <v>51547.118115045421</v>
      </c>
      <c r="H31" s="520">
        <f t="shared" si="0"/>
        <v>106136.05614547906</v>
      </c>
      <c r="I31" s="39">
        <f t="shared" si="1"/>
        <v>424544.22458191623</v>
      </c>
      <c r="J31" s="2"/>
      <c r="K31" s="188"/>
      <c r="L31" s="2"/>
      <c r="M31" s="2"/>
      <c r="S31" s="523"/>
      <c r="T31" s="523"/>
      <c r="U31" s="523"/>
      <c r="V31" s="523"/>
      <c r="Y31" s="524"/>
      <c r="AA31" s="11"/>
      <c r="AB31" s="11"/>
      <c r="AC31" s="11"/>
      <c r="AD31" s="11"/>
      <c r="AE31" s="11"/>
      <c r="AF31" s="11"/>
    </row>
    <row r="32" spans="1:32" ht="13.15" customHeight="1" x14ac:dyDescent="0.3">
      <c r="A32" s="36" t="s">
        <v>464</v>
      </c>
      <c r="B32" s="37"/>
      <c r="C32" s="497"/>
      <c r="D32" s="319">
        <v>363987.12933331874</v>
      </c>
      <c r="E32" s="319">
        <v>363787.79355602775</v>
      </c>
      <c r="F32" s="319">
        <v>363987.12933331874</v>
      </c>
      <c r="G32" s="319">
        <v>363920.65980641352</v>
      </c>
      <c r="H32" s="520">
        <f t="shared" si="0"/>
        <v>363920.67800726969</v>
      </c>
      <c r="I32" s="39">
        <f t="shared" si="1"/>
        <v>1455682.7120290787</v>
      </c>
      <c r="J32" s="2"/>
      <c r="K32" s="189"/>
      <c r="L32" s="2"/>
      <c r="M32" s="2"/>
      <c r="S32" s="523"/>
      <c r="T32" s="523"/>
      <c r="U32" s="523"/>
      <c r="V32" s="523"/>
      <c r="Y32" s="524"/>
      <c r="AA32" s="11"/>
      <c r="AB32" s="11"/>
      <c r="AC32" s="11"/>
      <c r="AD32" s="11"/>
      <c r="AE32" s="11"/>
      <c r="AF32" s="11"/>
    </row>
    <row r="33" spans="1:32" x14ac:dyDescent="0.3">
      <c r="A33" s="36" t="s">
        <v>465</v>
      </c>
      <c r="B33" s="37"/>
      <c r="C33" s="497"/>
      <c r="D33" s="319">
        <v>0</v>
      </c>
      <c r="E33" s="319">
        <v>0</v>
      </c>
      <c r="F33" s="319">
        <v>0</v>
      </c>
      <c r="G33" s="319">
        <v>0</v>
      </c>
      <c r="H33" s="520">
        <f t="shared" si="0"/>
        <v>0</v>
      </c>
      <c r="I33" s="39">
        <f t="shared" si="1"/>
        <v>0</v>
      </c>
      <c r="J33" s="2"/>
      <c r="K33" s="189"/>
      <c r="L33" s="2"/>
      <c r="M33" s="2"/>
      <c r="S33" s="523"/>
      <c r="T33" s="523"/>
      <c r="U33" s="523"/>
      <c r="V33" s="523"/>
      <c r="Y33" s="524"/>
      <c r="AA33" s="11"/>
      <c r="AB33" s="11"/>
      <c r="AC33" s="11"/>
      <c r="AD33" s="11"/>
      <c r="AE33" s="11"/>
      <c r="AF33" s="11"/>
    </row>
    <row r="34" spans="1:32" x14ac:dyDescent="0.3">
      <c r="A34" s="36" t="s">
        <v>466</v>
      </c>
      <c r="B34" s="37"/>
      <c r="C34" s="497"/>
      <c r="D34" s="319">
        <v>0</v>
      </c>
      <c r="E34" s="319">
        <v>0</v>
      </c>
      <c r="F34" s="319">
        <v>0</v>
      </c>
      <c r="G34" s="319">
        <v>0</v>
      </c>
      <c r="H34" s="520">
        <f t="shared" si="0"/>
        <v>0</v>
      </c>
      <c r="I34" s="39">
        <f t="shared" si="1"/>
        <v>0</v>
      </c>
      <c r="J34" s="2"/>
      <c r="K34" s="189"/>
      <c r="L34" s="2"/>
      <c r="M34" s="2"/>
      <c r="S34" s="523"/>
      <c r="T34" s="523"/>
      <c r="U34" s="523"/>
      <c r="V34" s="523"/>
      <c r="Y34" s="524"/>
      <c r="AA34" s="11"/>
      <c r="AB34" s="11"/>
      <c r="AC34" s="11"/>
      <c r="AD34" s="11"/>
      <c r="AE34" s="11"/>
      <c r="AF34" s="11"/>
    </row>
    <row r="35" spans="1:32" x14ac:dyDescent="0.3">
      <c r="A35" s="116" t="s">
        <v>447</v>
      </c>
      <c r="B35" s="310"/>
      <c r="C35" s="499"/>
      <c r="D35" s="297">
        <f>SUM(D36:D39)</f>
        <v>0</v>
      </c>
      <c r="E35" s="297">
        <f t="shared" ref="E35:G35" si="9">SUM(E36:E39)</f>
        <v>0</v>
      </c>
      <c r="F35" s="297">
        <f t="shared" si="9"/>
        <v>0</v>
      </c>
      <c r="G35" s="297">
        <f t="shared" si="9"/>
        <v>0</v>
      </c>
      <c r="H35" s="62">
        <f t="shared" si="0"/>
        <v>0</v>
      </c>
      <c r="I35" s="62">
        <f t="shared" si="1"/>
        <v>0</v>
      </c>
      <c r="J35" s="2"/>
      <c r="K35" s="197"/>
      <c r="L35" s="2"/>
      <c r="M35" s="2"/>
      <c r="S35" s="523"/>
      <c r="T35" s="523"/>
      <c r="U35" s="523"/>
      <c r="V35" s="523"/>
      <c r="Y35" s="524"/>
      <c r="AA35" s="526"/>
      <c r="AB35" s="526"/>
      <c r="AC35" s="526"/>
      <c r="AD35" s="526"/>
      <c r="AE35" s="526"/>
      <c r="AF35" s="526"/>
    </row>
    <row r="36" spans="1:32" x14ac:dyDescent="0.3">
      <c r="A36" s="36" t="s">
        <v>463</v>
      </c>
      <c r="B36" s="37"/>
      <c r="C36" s="497"/>
      <c r="D36" s="319">
        <v>0</v>
      </c>
      <c r="E36" s="319">
        <v>0</v>
      </c>
      <c r="F36" s="319">
        <v>0</v>
      </c>
      <c r="G36" s="319">
        <v>0</v>
      </c>
      <c r="H36" s="520">
        <f t="shared" si="0"/>
        <v>0</v>
      </c>
      <c r="I36" s="39">
        <f t="shared" si="1"/>
        <v>0</v>
      </c>
      <c r="J36" s="2"/>
      <c r="K36" s="189"/>
      <c r="L36" s="2"/>
      <c r="M36" s="2"/>
      <c r="S36" s="523"/>
      <c r="T36" s="523"/>
      <c r="U36" s="523"/>
      <c r="V36" s="523"/>
      <c r="Y36" s="524"/>
      <c r="AA36" s="526"/>
      <c r="AB36" s="526"/>
      <c r="AC36" s="526"/>
      <c r="AD36" s="526"/>
      <c r="AE36" s="526"/>
      <c r="AF36" s="526"/>
    </row>
    <row r="37" spans="1:32" x14ac:dyDescent="0.3">
      <c r="A37" s="36" t="s">
        <v>464</v>
      </c>
      <c r="B37" s="37"/>
      <c r="C37" s="497"/>
      <c r="D37" s="319">
        <v>0</v>
      </c>
      <c r="E37" s="319">
        <v>0</v>
      </c>
      <c r="F37" s="319">
        <v>0</v>
      </c>
      <c r="G37" s="319">
        <v>0</v>
      </c>
      <c r="H37" s="520">
        <f t="shared" si="0"/>
        <v>0</v>
      </c>
      <c r="I37" s="39">
        <f t="shared" si="1"/>
        <v>0</v>
      </c>
      <c r="J37" s="2"/>
      <c r="K37" s="189"/>
      <c r="L37" s="2"/>
      <c r="M37" s="2"/>
      <c r="S37" s="523"/>
      <c r="T37" s="523"/>
      <c r="U37" s="523"/>
      <c r="V37" s="523"/>
      <c r="Y37" s="524"/>
      <c r="AA37" s="526"/>
      <c r="AB37" s="526"/>
      <c r="AC37" s="526"/>
      <c r="AD37" s="526"/>
      <c r="AE37" s="526"/>
      <c r="AF37" s="526"/>
    </row>
    <row r="38" spans="1:32" x14ac:dyDescent="0.3">
      <c r="A38" s="36" t="s">
        <v>465</v>
      </c>
      <c r="B38" s="37"/>
      <c r="C38" s="497"/>
      <c r="D38" s="319">
        <v>0</v>
      </c>
      <c r="E38" s="319">
        <v>0</v>
      </c>
      <c r="F38" s="319">
        <v>0</v>
      </c>
      <c r="G38" s="319">
        <v>0</v>
      </c>
      <c r="H38" s="520">
        <f t="shared" si="0"/>
        <v>0</v>
      </c>
      <c r="I38" s="39">
        <f t="shared" si="1"/>
        <v>0</v>
      </c>
      <c r="J38" s="2"/>
      <c r="K38" s="189"/>
      <c r="L38" s="2"/>
      <c r="M38" s="2"/>
      <c r="S38" s="523"/>
      <c r="T38" s="523"/>
      <c r="U38" s="523"/>
      <c r="V38" s="523"/>
      <c r="Y38" s="524"/>
      <c r="AA38" s="526"/>
      <c r="AB38" s="526"/>
      <c r="AC38" s="526"/>
      <c r="AD38" s="526"/>
      <c r="AE38" s="526"/>
      <c r="AF38" s="526"/>
    </row>
    <row r="39" spans="1:32" x14ac:dyDescent="0.3">
      <c r="A39" s="36" t="s">
        <v>466</v>
      </c>
      <c r="B39" s="37"/>
      <c r="C39" s="496"/>
      <c r="D39" s="322">
        <v>0</v>
      </c>
      <c r="E39" s="322">
        <v>0</v>
      </c>
      <c r="F39" s="322">
        <v>0</v>
      </c>
      <c r="G39" s="322">
        <v>0</v>
      </c>
      <c r="H39" s="520">
        <f t="shared" si="0"/>
        <v>0</v>
      </c>
      <c r="I39" s="39">
        <f t="shared" si="1"/>
        <v>0</v>
      </c>
      <c r="J39" s="2"/>
      <c r="K39" s="189"/>
      <c r="L39" s="2"/>
      <c r="M39" s="2"/>
      <c r="S39" s="523"/>
      <c r="T39" s="523"/>
      <c r="U39" s="523"/>
      <c r="V39" s="523"/>
      <c r="Y39" s="524"/>
      <c r="AA39" s="526"/>
      <c r="AB39" s="526"/>
      <c r="AC39" s="526"/>
      <c r="AD39" s="526"/>
      <c r="AE39" s="526"/>
      <c r="AF39" s="526"/>
    </row>
    <row r="40" spans="1:32" x14ac:dyDescent="0.3">
      <c r="A40" s="115" t="s">
        <v>334</v>
      </c>
      <c r="B40" s="53"/>
      <c r="C40" s="474"/>
      <c r="D40" s="223">
        <f t="shared" ref="D40" si="10">D41+D46+D51+D56+D61+D66</f>
        <v>1477919.3184652261</v>
      </c>
      <c r="E40" s="223">
        <f t="shared" ref="E40" si="11">E41+E46+E51+E56+E61+E66</f>
        <v>1477919.3184652261</v>
      </c>
      <c r="F40" s="223">
        <f t="shared" ref="F40:G40" si="12">F41+F46+F51+F56+F61+F66</f>
        <v>1477919.3184652263</v>
      </c>
      <c r="G40" s="223">
        <f t="shared" si="12"/>
        <v>1477919.3184652263</v>
      </c>
      <c r="H40" s="300">
        <f>IFERROR(AVERAGE(C40:G40),0)</f>
        <v>1477919.3184652261</v>
      </c>
      <c r="I40" s="300">
        <f>SUM(C40:G40)</f>
        <v>5911677.2738609044</v>
      </c>
      <c r="J40" s="2"/>
      <c r="K40" s="197"/>
      <c r="L40" s="2"/>
      <c r="M40" s="2"/>
      <c r="S40" s="523"/>
      <c r="T40" s="523"/>
      <c r="U40" s="523"/>
      <c r="V40" s="523"/>
      <c r="Y40" s="524"/>
      <c r="AA40" s="526"/>
      <c r="AB40" s="526"/>
      <c r="AC40" s="526"/>
      <c r="AD40" s="526"/>
      <c r="AE40" s="526"/>
      <c r="AF40" s="526"/>
    </row>
    <row r="41" spans="1:32" x14ac:dyDescent="0.3">
      <c r="A41" s="116" t="s">
        <v>258</v>
      </c>
      <c r="B41" s="310"/>
      <c r="C41" s="499"/>
      <c r="D41" s="297">
        <f>SUM(D42:D45)</f>
        <v>912962.99503688607</v>
      </c>
      <c r="E41" s="297">
        <f>SUM(E42:E45)</f>
        <v>912962.99503688607</v>
      </c>
      <c r="F41" s="297">
        <f t="shared" ref="F41:G41" si="13">SUM(F42:F45)</f>
        <v>912962.99503688607</v>
      </c>
      <c r="G41" s="297">
        <f t="shared" si="13"/>
        <v>912962.99503688607</v>
      </c>
      <c r="H41" s="62">
        <f t="shared" ref="H41:H71" si="14">IFERROR(AVERAGE(C41:G41),0)</f>
        <v>912962.99503688607</v>
      </c>
      <c r="I41" s="62">
        <f t="shared" ref="I41:I71" si="15">SUM(C41:G41)</f>
        <v>3651851.9801475443</v>
      </c>
      <c r="J41" s="2"/>
      <c r="K41" s="189"/>
      <c r="L41" s="2"/>
      <c r="M41" s="2"/>
      <c r="S41" s="523"/>
      <c r="T41" s="523"/>
      <c r="U41" s="523"/>
      <c r="V41" s="523"/>
      <c r="Y41" s="524"/>
      <c r="AA41" s="526"/>
      <c r="AB41" s="526"/>
      <c r="AC41" s="526"/>
      <c r="AD41" s="526"/>
      <c r="AE41" s="526"/>
      <c r="AF41" s="526"/>
    </row>
    <row r="42" spans="1:32" x14ac:dyDescent="0.3">
      <c r="A42" s="36" t="s">
        <v>463</v>
      </c>
      <c r="B42" s="37"/>
      <c r="C42" s="497"/>
      <c r="D42" s="320">
        <v>230517.94834859637</v>
      </c>
      <c r="E42" s="320">
        <v>171939.57293884645</v>
      </c>
      <c r="F42" s="320">
        <v>118065.90703736678</v>
      </c>
      <c r="G42" s="320">
        <v>63304.594609040054</v>
      </c>
      <c r="H42" s="520">
        <f>IFERROR(AVERAGE(C42:G42),0)</f>
        <v>145957.0057334624</v>
      </c>
      <c r="I42" s="39">
        <f t="shared" si="15"/>
        <v>583828.0229338496</v>
      </c>
      <c r="J42" s="2"/>
      <c r="K42" s="188"/>
      <c r="L42" s="2"/>
      <c r="M42" s="2"/>
      <c r="S42" s="523"/>
      <c r="T42" s="523"/>
      <c r="U42" s="523"/>
      <c r="V42" s="523"/>
      <c r="Y42" s="524"/>
      <c r="AA42" s="526"/>
      <c r="AB42" s="526"/>
      <c r="AC42" s="526"/>
      <c r="AD42" s="526"/>
      <c r="AE42" s="526"/>
      <c r="AF42" s="526"/>
    </row>
    <row r="43" spans="1:32" ht="13.15" customHeight="1" x14ac:dyDescent="0.3">
      <c r="A43" s="36" t="s">
        <v>464</v>
      </c>
      <c r="B43" s="37"/>
      <c r="C43" s="497"/>
      <c r="D43" s="319">
        <v>266792.48423207423</v>
      </c>
      <c r="E43" s="319">
        <v>270791.91481456626</v>
      </c>
      <c r="F43" s="319">
        <v>273646.63411063986</v>
      </c>
      <c r="G43" s="319">
        <v>272297.71652366372</v>
      </c>
      <c r="H43" s="520">
        <f t="shared" si="14"/>
        <v>270882.18742023606</v>
      </c>
      <c r="I43" s="39">
        <f t="shared" si="15"/>
        <v>1083528.7496809443</v>
      </c>
      <c r="J43" s="2"/>
      <c r="K43" s="189"/>
      <c r="L43" s="2"/>
      <c r="M43" s="2"/>
      <c r="S43" s="523"/>
      <c r="T43" s="523"/>
      <c r="U43" s="523"/>
      <c r="V43" s="523"/>
      <c r="Y43" s="524"/>
      <c r="AA43" s="526"/>
      <c r="AB43" s="526"/>
      <c r="AC43" s="526"/>
      <c r="AD43" s="526"/>
      <c r="AE43" s="526"/>
      <c r="AF43" s="526"/>
    </row>
    <row r="44" spans="1:32" x14ac:dyDescent="0.3">
      <c r="A44" s="36" t="s">
        <v>465</v>
      </c>
      <c r="B44" s="37"/>
      <c r="C44" s="497"/>
      <c r="D44" s="319">
        <v>51453.526000000194</v>
      </c>
      <c r="E44" s="319">
        <v>51453.526000000194</v>
      </c>
      <c r="F44" s="319">
        <v>51453.526000000194</v>
      </c>
      <c r="G44" s="319">
        <v>51453.526000000194</v>
      </c>
      <c r="H44" s="520">
        <f t="shared" si="14"/>
        <v>51453.526000000194</v>
      </c>
      <c r="I44" s="39">
        <f t="shared" si="15"/>
        <v>205814.10400000078</v>
      </c>
      <c r="J44" s="2"/>
      <c r="K44" s="189"/>
      <c r="L44" s="2"/>
      <c r="M44" s="2"/>
      <c r="S44" s="523"/>
      <c r="T44" s="523"/>
      <c r="U44" s="523"/>
      <c r="V44" s="523"/>
      <c r="Y44" s="524"/>
      <c r="AA44" s="526"/>
      <c r="AB44" s="526"/>
      <c r="AC44" s="526"/>
      <c r="AD44" s="526"/>
      <c r="AE44" s="526"/>
      <c r="AF44" s="526"/>
    </row>
    <row r="45" spans="1:32" x14ac:dyDescent="0.3">
      <c r="A45" s="36" t="s">
        <v>466</v>
      </c>
      <c r="B45" s="37"/>
      <c r="C45" s="497"/>
      <c r="D45" s="319">
        <v>364199.03645621525</v>
      </c>
      <c r="E45" s="319">
        <v>418777.98128347314</v>
      </c>
      <c r="F45" s="319">
        <v>469796.92788887926</v>
      </c>
      <c r="G45" s="319">
        <v>525907.1579041821</v>
      </c>
      <c r="H45" s="520">
        <f t="shared" si="14"/>
        <v>444670.27588318742</v>
      </c>
      <c r="I45" s="39">
        <f t="shared" si="15"/>
        <v>1778681.1035327497</v>
      </c>
      <c r="J45" s="2"/>
      <c r="K45" s="189"/>
      <c r="L45" s="2"/>
      <c r="M45" s="2"/>
      <c r="S45" s="523"/>
      <c r="T45" s="523"/>
      <c r="U45" s="523"/>
      <c r="V45" s="523"/>
      <c r="Y45" s="524"/>
    </row>
    <row r="46" spans="1:32" x14ac:dyDescent="0.3">
      <c r="A46" s="116" t="s">
        <v>467</v>
      </c>
      <c r="B46" s="310"/>
      <c r="C46" s="499"/>
      <c r="D46" s="297">
        <f>SUM(D47:D50)</f>
        <v>272500.26642834028</v>
      </c>
      <c r="E46" s="297">
        <f t="shared" ref="E46:G46" si="16">SUM(E47:E50)</f>
        <v>272500.26642834028</v>
      </c>
      <c r="F46" s="297">
        <f t="shared" si="16"/>
        <v>272500.26642834028</v>
      </c>
      <c r="G46" s="297">
        <f t="shared" si="16"/>
        <v>272500.26642834028</v>
      </c>
      <c r="H46" s="62">
        <f t="shared" si="14"/>
        <v>272500.26642834028</v>
      </c>
      <c r="I46" s="62">
        <f t="shared" si="15"/>
        <v>1090001.0657133611</v>
      </c>
      <c r="J46" s="2"/>
      <c r="K46" s="197"/>
      <c r="L46" s="2"/>
      <c r="M46" s="2"/>
      <c r="S46" s="523"/>
      <c r="T46" s="523"/>
      <c r="U46" s="523"/>
      <c r="V46" s="523"/>
      <c r="Y46" s="524"/>
    </row>
    <row r="47" spans="1:32" x14ac:dyDescent="0.3">
      <c r="A47" s="36" t="s">
        <v>463</v>
      </c>
      <c r="B47" s="37"/>
      <c r="C47" s="497"/>
      <c r="D47" s="319">
        <v>0</v>
      </c>
      <c r="E47" s="319">
        <v>0</v>
      </c>
      <c r="F47" s="319">
        <v>0</v>
      </c>
      <c r="G47" s="319">
        <v>0</v>
      </c>
      <c r="H47" s="520">
        <f t="shared" si="14"/>
        <v>0</v>
      </c>
      <c r="I47" s="39">
        <f t="shared" si="15"/>
        <v>0</v>
      </c>
      <c r="J47" s="2"/>
      <c r="K47" s="189"/>
      <c r="L47" s="2"/>
      <c r="M47" s="2"/>
      <c r="S47" s="523"/>
      <c r="T47" s="523"/>
      <c r="U47" s="523"/>
      <c r="V47" s="523"/>
      <c r="Y47" s="524"/>
    </row>
    <row r="48" spans="1:32" x14ac:dyDescent="0.3">
      <c r="A48" s="36" t="s">
        <v>464</v>
      </c>
      <c r="B48" s="37"/>
      <c r="C48" s="497"/>
      <c r="D48" s="319">
        <v>272500.26642834028</v>
      </c>
      <c r="E48" s="319">
        <v>272500.26642834028</v>
      </c>
      <c r="F48" s="319">
        <v>272500.26642834028</v>
      </c>
      <c r="G48" s="319">
        <v>272500.26642834028</v>
      </c>
      <c r="H48" s="520">
        <f t="shared" si="14"/>
        <v>272500.26642834028</v>
      </c>
      <c r="I48" s="39">
        <f t="shared" si="15"/>
        <v>1090001.0657133611</v>
      </c>
      <c r="J48" s="2"/>
      <c r="K48" s="189"/>
      <c r="L48" s="2"/>
      <c r="M48" s="2"/>
      <c r="S48" s="523"/>
      <c r="T48" s="523"/>
      <c r="U48" s="523"/>
      <c r="V48" s="523"/>
      <c r="Y48" s="524"/>
    </row>
    <row r="49" spans="1:25" x14ac:dyDescent="0.3">
      <c r="A49" s="36" t="s">
        <v>465</v>
      </c>
      <c r="B49" s="37"/>
      <c r="C49" s="497"/>
      <c r="D49" s="319">
        <v>0</v>
      </c>
      <c r="E49" s="319">
        <v>0</v>
      </c>
      <c r="F49" s="319">
        <v>0</v>
      </c>
      <c r="G49" s="319">
        <v>0</v>
      </c>
      <c r="H49" s="520">
        <f t="shared" si="14"/>
        <v>0</v>
      </c>
      <c r="I49" s="39">
        <f t="shared" si="15"/>
        <v>0</v>
      </c>
      <c r="J49" s="2"/>
      <c r="K49" s="189"/>
      <c r="L49" s="2"/>
      <c r="M49" s="2"/>
      <c r="S49" s="523"/>
      <c r="T49" s="523"/>
      <c r="U49" s="523"/>
      <c r="V49" s="523"/>
      <c r="Y49" s="524"/>
    </row>
    <row r="50" spans="1:25" x14ac:dyDescent="0.3">
      <c r="A50" s="36" t="s">
        <v>466</v>
      </c>
      <c r="B50" s="37"/>
      <c r="C50" s="496"/>
      <c r="D50" s="322">
        <v>0</v>
      </c>
      <c r="E50" s="322">
        <v>0</v>
      </c>
      <c r="F50" s="322">
        <v>0</v>
      </c>
      <c r="G50" s="322">
        <v>0</v>
      </c>
      <c r="H50" s="520">
        <f t="shared" si="14"/>
        <v>0</v>
      </c>
      <c r="I50" s="39">
        <f t="shared" si="15"/>
        <v>0</v>
      </c>
      <c r="J50" s="2"/>
      <c r="K50" s="189"/>
      <c r="L50" s="2"/>
      <c r="M50" s="2"/>
      <c r="S50" s="523"/>
      <c r="T50" s="523"/>
      <c r="U50" s="523"/>
      <c r="V50" s="523"/>
      <c r="Y50" s="524"/>
    </row>
    <row r="51" spans="1:25" x14ac:dyDescent="0.3">
      <c r="A51" s="116" t="s">
        <v>468</v>
      </c>
      <c r="B51" s="310"/>
      <c r="C51" s="499"/>
      <c r="D51" s="297">
        <f>SUM(D52:D55)</f>
        <v>0</v>
      </c>
      <c r="E51" s="297">
        <f t="shared" ref="E51:G51" si="17">SUM(E52:E55)</f>
        <v>0</v>
      </c>
      <c r="F51" s="297">
        <f t="shared" si="17"/>
        <v>0</v>
      </c>
      <c r="G51" s="297">
        <f t="shared" si="17"/>
        <v>0</v>
      </c>
      <c r="H51" s="62">
        <f t="shared" si="14"/>
        <v>0</v>
      </c>
      <c r="I51" s="62">
        <f t="shared" si="15"/>
        <v>0</v>
      </c>
      <c r="J51" s="2"/>
      <c r="K51" s="189"/>
      <c r="L51" s="2"/>
      <c r="M51" s="2"/>
      <c r="S51" s="523"/>
      <c r="T51" s="523"/>
      <c r="U51" s="523"/>
      <c r="V51" s="523"/>
      <c r="Y51" s="524"/>
    </row>
    <row r="52" spans="1:25" x14ac:dyDescent="0.3">
      <c r="A52" s="36" t="s">
        <v>463</v>
      </c>
      <c r="B52" s="37"/>
      <c r="C52" s="497"/>
      <c r="D52" s="320">
        <v>0</v>
      </c>
      <c r="E52" s="320">
        <v>0</v>
      </c>
      <c r="F52" s="320">
        <v>0</v>
      </c>
      <c r="G52" s="320">
        <v>0</v>
      </c>
      <c r="H52" s="520">
        <f t="shared" si="14"/>
        <v>0</v>
      </c>
      <c r="I52" s="39">
        <f t="shared" si="15"/>
        <v>0</v>
      </c>
      <c r="J52" s="2"/>
      <c r="K52" s="188"/>
      <c r="L52" s="2"/>
      <c r="M52" s="2"/>
      <c r="S52" s="523"/>
      <c r="T52" s="523"/>
      <c r="U52" s="523"/>
      <c r="V52" s="523"/>
      <c r="Y52" s="524"/>
    </row>
    <row r="53" spans="1:25" ht="13.15" customHeight="1" x14ac:dyDescent="0.3">
      <c r="A53" s="36" t="s">
        <v>464</v>
      </c>
      <c r="B53" s="37"/>
      <c r="C53" s="497"/>
      <c r="D53" s="319">
        <v>0</v>
      </c>
      <c r="E53" s="319">
        <v>0</v>
      </c>
      <c r="F53" s="319">
        <v>0</v>
      </c>
      <c r="G53" s="319">
        <v>0</v>
      </c>
      <c r="H53" s="520">
        <f t="shared" si="14"/>
        <v>0</v>
      </c>
      <c r="I53" s="39">
        <f t="shared" si="15"/>
        <v>0</v>
      </c>
      <c r="J53" s="2"/>
      <c r="K53" s="189"/>
      <c r="L53" s="2"/>
      <c r="M53" s="2"/>
      <c r="S53" s="523"/>
      <c r="T53" s="523"/>
      <c r="U53" s="523"/>
      <c r="V53" s="523"/>
      <c r="Y53" s="524"/>
    </row>
    <row r="54" spans="1:25" x14ac:dyDescent="0.3">
      <c r="A54" s="36" t="s">
        <v>465</v>
      </c>
      <c r="B54" s="37"/>
      <c r="C54" s="497"/>
      <c r="D54" s="319">
        <v>0</v>
      </c>
      <c r="E54" s="319">
        <v>0</v>
      </c>
      <c r="F54" s="319">
        <v>0</v>
      </c>
      <c r="G54" s="319">
        <v>0</v>
      </c>
      <c r="H54" s="520">
        <f t="shared" si="14"/>
        <v>0</v>
      </c>
      <c r="I54" s="39">
        <f t="shared" si="15"/>
        <v>0</v>
      </c>
      <c r="J54" s="2"/>
      <c r="K54" s="189"/>
      <c r="L54" s="2"/>
      <c r="M54" s="2"/>
      <c r="S54" s="523"/>
      <c r="T54" s="523"/>
      <c r="U54" s="523"/>
      <c r="V54" s="523"/>
      <c r="Y54" s="524"/>
    </row>
    <row r="55" spans="1:25" x14ac:dyDescent="0.3">
      <c r="A55" s="36" t="s">
        <v>466</v>
      </c>
      <c r="B55" s="37"/>
      <c r="C55" s="497"/>
      <c r="D55" s="319">
        <v>0</v>
      </c>
      <c r="E55" s="319">
        <v>0</v>
      </c>
      <c r="F55" s="319">
        <v>0</v>
      </c>
      <c r="G55" s="319">
        <v>0</v>
      </c>
      <c r="H55" s="520">
        <f t="shared" si="14"/>
        <v>0</v>
      </c>
      <c r="I55" s="39">
        <f t="shared" si="15"/>
        <v>0</v>
      </c>
      <c r="J55" s="2"/>
      <c r="K55" s="189"/>
      <c r="L55" s="2"/>
      <c r="M55" s="2"/>
      <c r="S55" s="523"/>
      <c r="T55" s="523"/>
      <c r="U55" s="523"/>
      <c r="V55" s="523"/>
      <c r="Y55" s="524"/>
    </row>
    <row r="56" spans="1:25" x14ac:dyDescent="0.3">
      <c r="A56" s="116" t="s">
        <v>257</v>
      </c>
      <c r="B56" s="310"/>
      <c r="C56" s="499"/>
      <c r="D56" s="297">
        <f>SUM(D57:D60)</f>
        <v>174263.40000000002</v>
      </c>
      <c r="E56" s="297">
        <f t="shared" ref="E56:G56" si="18">SUM(E57:E60)</f>
        <v>188115.11336144578</v>
      </c>
      <c r="F56" s="297">
        <f t="shared" si="18"/>
        <v>197901.9314</v>
      </c>
      <c r="G56" s="297">
        <f t="shared" si="18"/>
        <v>202516.53878981006</v>
      </c>
      <c r="H56" s="62">
        <f t="shared" si="14"/>
        <v>190699.24588781394</v>
      </c>
      <c r="I56" s="62">
        <f t="shared" si="15"/>
        <v>762796.98355125578</v>
      </c>
      <c r="J56" s="2"/>
      <c r="K56" s="197"/>
      <c r="L56" s="2"/>
      <c r="M56" s="2"/>
      <c r="S56" s="523"/>
      <c r="T56" s="523"/>
      <c r="U56" s="523"/>
      <c r="V56" s="523"/>
      <c r="Y56" s="524"/>
    </row>
    <row r="57" spans="1:25" x14ac:dyDescent="0.3">
      <c r="A57" s="36" t="s">
        <v>463</v>
      </c>
      <c r="B57" s="37"/>
      <c r="C57" s="497"/>
      <c r="D57" s="319">
        <v>174263.40000000002</v>
      </c>
      <c r="E57" s="319">
        <v>174263.40000000002</v>
      </c>
      <c r="F57" s="319">
        <v>174263.40000000002</v>
      </c>
      <c r="G57" s="319">
        <v>174263.40000000002</v>
      </c>
      <c r="H57" s="520">
        <f t="shared" si="14"/>
        <v>174263.40000000002</v>
      </c>
      <c r="I57" s="39">
        <f t="shared" si="15"/>
        <v>697053.60000000009</v>
      </c>
      <c r="J57" s="2"/>
      <c r="K57" s="189"/>
      <c r="L57" s="2"/>
      <c r="M57" s="2"/>
      <c r="S57" s="523"/>
      <c r="T57" s="523"/>
      <c r="U57" s="523"/>
      <c r="V57" s="523"/>
      <c r="Y57" s="524"/>
    </row>
    <row r="58" spans="1:25" x14ac:dyDescent="0.3">
      <c r="A58" s="36" t="s">
        <v>464</v>
      </c>
      <c r="B58" s="37"/>
      <c r="C58" s="497"/>
      <c r="D58" s="319">
        <v>0</v>
      </c>
      <c r="E58" s="319">
        <v>0</v>
      </c>
      <c r="F58" s="319">
        <v>0</v>
      </c>
      <c r="G58" s="319">
        <v>0</v>
      </c>
      <c r="H58" s="520">
        <f t="shared" si="14"/>
        <v>0</v>
      </c>
      <c r="I58" s="39">
        <f t="shared" si="15"/>
        <v>0</v>
      </c>
      <c r="J58" s="2"/>
      <c r="K58" s="189"/>
      <c r="L58" s="2"/>
      <c r="M58" s="2"/>
      <c r="S58" s="523"/>
      <c r="T58" s="523"/>
      <c r="U58" s="523"/>
      <c r="V58" s="523"/>
      <c r="Y58" s="524"/>
    </row>
    <row r="59" spans="1:25" x14ac:dyDescent="0.3">
      <c r="A59" s="36" t="s">
        <v>465</v>
      </c>
      <c r="B59" s="37"/>
      <c r="C59" s="497"/>
      <c r="D59" s="319">
        <v>0</v>
      </c>
      <c r="E59" s="319">
        <v>0</v>
      </c>
      <c r="F59" s="319">
        <v>0</v>
      </c>
      <c r="G59" s="319">
        <v>0</v>
      </c>
      <c r="H59" s="520">
        <f t="shared" si="14"/>
        <v>0</v>
      </c>
      <c r="I59" s="39">
        <f t="shared" si="15"/>
        <v>0</v>
      </c>
      <c r="J59" s="2"/>
      <c r="K59" s="189"/>
      <c r="L59" s="2"/>
      <c r="M59" s="2"/>
      <c r="S59" s="523"/>
      <c r="T59" s="523"/>
      <c r="U59" s="523"/>
      <c r="V59" s="523"/>
      <c r="Y59" s="524"/>
    </row>
    <row r="60" spans="1:25" x14ac:dyDescent="0.3">
      <c r="A60" s="36" t="s">
        <v>466</v>
      </c>
      <c r="B60" s="37"/>
      <c r="C60" s="496"/>
      <c r="D60" s="322">
        <v>0</v>
      </c>
      <c r="E60" s="322">
        <v>13851.713361445758</v>
      </c>
      <c r="F60" s="322">
        <v>23638.531399999971</v>
      </c>
      <c r="G60" s="322">
        <v>28253.138789810047</v>
      </c>
      <c r="H60" s="520">
        <f t="shared" si="14"/>
        <v>16435.845887813943</v>
      </c>
      <c r="I60" s="39">
        <f t="shared" si="15"/>
        <v>65743.383551255771</v>
      </c>
      <c r="J60" s="2"/>
      <c r="K60" s="189"/>
      <c r="L60" s="2"/>
      <c r="M60" s="2"/>
      <c r="S60" s="523"/>
      <c r="T60" s="523"/>
      <c r="U60" s="523"/>
      <c r="V60" s="523"/>
      <c r="Y60" s="524"/>
    </row>
    <row r="61" spans="1:25" x14ac:dyDescent="0.3">
      <c r="A61" s="116" t="s">
        <v>259</v>
      </c>
      <c r="B61" s="310"/>
      <c r="C61" s="499"/>
      <c r="D61" s="297">
        <f>SUM(D62:D65)</f>
        <v>118192.65699999985</v>
      </c>
      <c r="E61" s="297">
        <f t="shared" ref="E61:G61" si="19">SUM(E62:E65)</f>
        <v>104340.94363855408</v>
      </c>
      <c r="F61" s="297">
        <f t="shared" si="19"/>
        <v>94554.125599999883</v>
      </c>
      <c r="G61" s="297">
        <f t="shared" si="19"/>
        <v>89939.51821018981</v>
      </c>
      <c r="H61" s="62">
        <f t="shared" si="14"/>
        <v>101756.8111121859</v>
      </c>
      <c r="I61" s="62">
        <f t="shared" si="15"/>
        <v>407027.24444874359</v>
      </c>
      <c r="J61" s="2"/>
      <c r="K61" s="189"/>
      <c r="L61" s="2"/>
      <c r="M61" s="2"/>
      <c r="S61" s="523"/>
      <c r="T61" s="523"/>
      <c r="U61" s="523"/>
      <c r="V61" s="523"/>
      <c r="Y61" s="524"/>
    </row>
    <row r="62" spans="1:25" x14ac:dyDescent="0.3">
      <c r="A62" s="36" t="s">
        <v>463</v>
      </c>
      <c r="B62" s="37"/>
      <c r="C62" s="497"/>
      <c r="D62" s="320">
        <v>39397.552333333282</v>
      </c>
      <c r="E62" s="320">
        <v>25588.990726907599</v>
      </c>
      <c r="F62" s="320">
        <v>15759.020933333313</v>
      </c>
      <c r="G62" s="320">
        <v>11158.802715303127</v>
      </c>
      <c r="H62" s="520">
        <f t="shared" si="14"/>
        <v>22976.09167721933</v>
      </c>
      <c r="I62" s="39">
        <f t="shared" si="15"/>
        <v>91904.366708877322</v>
      </c>
      <c r="J62" s="2"/>
      <c r="K62" s="188"/>
      <c r="L62" s="2"/>
      <c r="M62" s="2"/>
      <c r="S62" s="523"/>
      <c r="T62" s="523"/>
      <c r="U62" s="523"/>
      <c r="V62" s="523"/>
      <c r="Y62" s="524"/>
    </row>
    <row r="63" spans="1:25" ht="13.15" customHeight="1" x14ac:dyDescent="0.3">
      <c r="A63" s="36" t="s">
        <v>464</v>
      </c>
      <c r="B63" s="37"/>
      <c r="C63" s="497"/>
      <c r="D63" s="319">
        <v>78795.104666666564</v>
      </c>
      <c r="E63" s="319">
        <v>78751.952911646484</v>
      </c>
      <c r="F63" s="319">
        <v>78795.104666666564</v>
      </c>
      <c r="G63" s="319">
        <v>78780.715494886681</v>
      </c>
      <c r="H63" s="520">
        <f t="shared" si="14"/>
        <v>78780.719434966566</v>
      </c>
      <c r="I63" s="39">
        <f t="shared" si="15"/>
        <v>315122.87773986626</v>
      </c>
      <c r="J63" s="2"/>
      <c r="K63" s="189"/>
      <c r="L63" s="2"/>
      <c r="M63" s="2"/>
      <c r="S63" s="523"/>
      <c r="T63" s="523"/>
      <c r="U63" s="523"/>
      <c r="V63" s="523"/>
      <c r="Y63" s="524"/>
    </row>
    <row r="64" spans="1:25" x14ac:dyDescent="0.3">
      <c r="A64" s="36" t="s">
        <v>465</v>
      </c>
      <c r="B64" s="37"/>
      <c r="C64" s="497"/>
      <c r="D64" s="319">
        <v>0</v>
      </c>
      <c r="E64" s="319">
        <v>0</v>
      </c>
      <c r="F64" s="319">
        <v>0</v>
      </c>
      <c r="G64" s="319">
        <v>0</v>
      </c>
      <c r="H64" s="520">
        <f t="shared" si="14"/>
        <v>0</v>
      </c>
      <c r="I64" s="39">
        <f t="shared" si="15"/>
        <v>0</v>
      </c>
      <c r="J64" s="2"/>
      <c r="K64" s="189"/>
      <c r="L64" s="2"/>
      <c r="M64" s="2"/>
      <c r="S64" s="523"/>
      <c r="T64" s="523"/>
      <c r="U64" s="523"/>
      <c r="V64" s="523"/>
      <c r="Y64" s="524"/>
    </row>
    <row r="65" spans="1:25" x14ac:dyDescent="0.3">
      <c r="A65" s="36" t="s">
        <v>466</v>
      </c>
      <c r="B65" s="37"/>
      <c r="C65" s="497"/>
      <c r="D65" s="319">
        <v>0</v>
      </c>
      <c r="E65" s="319">
        <v>0</v>
      </c>
      <c r="F65" s="319">
        <v>0</v>
      </c>
      <c r="G65" s="319">
        <v>0</v>
      </c>
      <c r="H65" s="520">
        <f t="shared" si="14"/>
        <v>0</v>
      </c>
      <c r="I65" s="39">
        <f t="shared" si="15"/>
        <v>0</v>
      </c>
      <c r="J65" s="2"/>
      <c r="K65" s="189"/>
      <c r="L65" s="2"/>
      <c r="M65" s="2"/>
      <c r="S65" s="523"/>
      <c r="T65" s="523"/>
      <c r="U65" s="523"/>
      <c r="V65" s="523"/>
      <c r="Y65" s="524"/>
    </row>
    <row r="66" spans="1:25" x14ac:dyDescent="0.3">
      <c r="A66" s="116" t="s">
        <v>447</v>
      </c>
      <c r="B66" s="310"/>
      <c r="C66" s="499"/>
      <c r="D66" s="297">
        <f>SUM(D67:D70)</f>
        <v>0</v>
      </c>
      <c r="E66" s="297">
        <f t="shared" ref="E66:G66" si="20">SUM(E67:E70)</f>
        <v>0</v>
      </c>
      <c r="F66" s="297">
        <f t="shared" si="20"/>
        <v>0</v>
      </c>
      <c r="G66" s="297">
        <f t="shared" si="20"/>
        <v>0</v>
      </c>
      <c r="H66" s="62">
        <f t="shared" si="14"/>
        <v>0</v>
      </c>
      <c r="I66" s="62">
        <f t="shared" si="15"/>
        <v>0</v>
      </c>
      <c r="J66" s="2"/>
      <c r="K66" s="197"/>
      <c r="L66" s="2"/>
      <c r="M66" s="2"/>
      <c r="S66" s="523"/>
      <c r="T66" s="523"/>
      <c r="U66" s="523"/>
      <c r="V66" s="523"/>
      <c r="Y66" s="524"/>
    </row>
    <row r="67" spans="1:25" x14ac:dyDescent="0.3">
      <c r="A67" s="36" t="s">
        <v>463</v>
      </c>
      <c r="B67" s="37"/>
      <c r="C67" s="497"/>
      <c r="D67" s="319">
        <v>0</v>
      </c>
      <c r="E67" s="319">
        <v>0</v>
      </c>
      <c r="F67" s="319">
        <v>0</v>
      </c>
      <c r="G67" s="319">
        <v>0</v>
      </c>
      <c r="H67" s="520">
        <f t="shared" si="14"/>
        <v>0</v>
      </c>
      <c r="I67" s="39">
        <f t="shared" si="15"/>
        <v>0</v>
      </c>
      <c r="J67" s="2"/>
      <c r="K67" s="189"/>
      <c r="L67" s="2"/>
      <c r="M67" s="2"/>
      <c r="S67" s="523"/>
      <c r="T67" s="523"/>
      <c r="U67" s="523"/>
      <c r="V67" s="523"/>
      <c r="Y67" s="524"/>
    </row>
    <row r="68" spans="1:25" x14ac:dyDescent="0.3">
      <c r="A68" s="36" t="s">
        <v>464</v>
      </c>
      <c r="B68" s="37"/>
      <c r="C68" s="497"/>
      <c r="D68" s="319">
        <v>0</v>
      </c>
      <c r="E68" s="319">
        <v>0</v>
      </c>
      <c r="F68" s="319">
        <v>0</v>
      </c>
      <c r="G68" s="319">
        <v>0</v>
      </c>
      <c r="H68" s="520">
        <f t="shared" si="14"/>
        <v>0</v>
      </c>
      <c r="I68" s="39">
        <f t="shared" si="15"/>
        <v>0</v>
      </c>
      <c r="J68" s="2"/>
      <c r="K68" s="189"/>
      <c r="L68" s="2"/>
      <c r="M68" s="2"/>
      <c r="S68" s="523"/>
      <c r="T68" s="523"/>
      <c r="U68" s="523"/>
      <c r="V68" s="523"/>
      <c r="Y68" s="524"/>
    </row>
    <row r="69" spans="1:25" x14ac:dyDescent="0.3">
      <c r="A69" s="36" t="s">
        <v>465</v>
      </c>
      <c r="B69" s="37"/>
      <c r="C69" s="497"/>
      <c r="D69" s="319">
        <v>0</v>
      </c>
      <c r="E69" s="319">
        <v>0</v>
      </c>
      <c r="F69" s="319">
        <v>0</v>
      </c>
      <c r="G69" s="319">
        <v>0</v>
      </c>
      <c r="H69" s="520">
        <f t="shared" si="14"/>
        <v>0</v>
      </c>
      <c r="I69" s="39">
        <f t="shared" si="15"/>
        <v>0</v>
      </c>
      <c r="J69" s="2"/>
      <c r="K69" s="189"/>
      <c r="L69" s="2"/>
      <c r="M69" s="2"/>
      <c r="S69" s="523"/>
      <c r="T69" s="523"/>
      <c r="U69" s="523"/>
      <c r="V69" s="523"/>
      <c r="Y69" s="524"/>
    </row>
    <row r="70" spans="1:25" x14ac:dyDescent="0.3">
      <c r="A70" s="36" t="s">
        <v>466</v>
      </c>
      <c r="B70" s="37"/>
      <c r="C70" s="496"/>
      <c r="D70" s="322">
        <v>0</v>
      </c>
      <c r="E70" s="322">
        <v>0</v>
      </c>
      <c r="F70" s="322">
        <v>0</v>
      </c>
      <c r="G70" s="322">
        <v>0</v>
      </c>
      <c r="H70" s="520">
        <f t="shared" si="14"/>
        <v>0</v>
      </c>
      <c r="I70" s="39">
        <f t="shared" si="15"/>
        <v>0</v>
      </c>
      <c r="J70" s="2"/>
      <c r="K70" s="189"/>
      <c r="L70" s="2"/>
      <c r="M70" s="2"/>
      <c r="S70" s="523"/>
      <c r="T70" s="523"/>
      <c r="U70" s="523"/>
      <c r="V70" s="523"/>
      <c r="Y70" s="524"/>
    </row>
    <row r="71" spans="1:25" x14ac:dyDescent="0.3">
      <c r="A71" s="115" t="s">
        <v>285</v>
      </c>
      <c r="B71" s="53"/>
      <c r="C71" s="474"/>
      <c r="D71" s="223">
        <f t="shared" ref="D71" si="21">D72+D77+D82+D87+D92+D97</f>
        <v>358922.23857756954</v>
      </c>
      <c r="E71" s="223">
        <f t="shared" ref="E71" si="22">E72+E77+E82+E87+E92+E97</f>
        <v>358922.23857756931</v>
      </c>
      <c r="F71" s="223">
        <f t="shared" ref="F71:G71" si="23">F72+F77+F82+F87+F92+F97</f>
        <v>358922.23857756937</v>
      </c>
      <c r="G71" s="223">
        <f t="shared" si="23"/>
        <v>358922.2385775696</v>
      </c>
      <c r="H71" s="300">
        <f t="shared" si="14"/>
        <v>358922.23857756943</v>
      </c>
      <c r="I71" s="300">
        <f t="shared" si="15"/>
        <v>1435688.9543102777</v>
      </c>
      <c r="J71" s="2"/>
      <c r="K71" s="197"/>
      <c r="L71" s="2"/>
      <c r="M71" s="2"/>
      <c r="S71" s="523"/>
      <c r="T71" s="523"/>
      <c r="U71" s="523"/>
      <c r="V71" s="523"/>
      <c r="Y71" s="524"/>
    </row>
    <row r="72" spans="1:25" x14ac:dyDescent="0.3">
      <c r="A72" s="116" t="s">
        <v>258</v>
      </c>
      <c r="B72" s="310"/>
      <c r="C72" s="499"/>
      <c r="D72" s="297">
        <f>SUM(D73:D76)</f>
        <v>218679.40155803564</v>
      </c>
      <c r="E72" s="297">
        <f>SUM(E73:E76)</f>
        <v>218679.40155803534</v>
      </c>
      <c r="F72" s="297">
        <f t="shared" ref="F72:G72" si="24">SUM(F73:F76)</f>
        <v>218679.40155803543</v>
      </c>
      <c r="G72" s="297">
        <f t="shared" si="24"/>
        <v>218679.40155803566</v>
      </c>
      <c r="H72" s="62">
        <f t="shared" ref="H72:H102" si="25">IFERROR(AVERAGE(C72:G72),0)</f>
        <v>218679.40155803552</v>
      </c>
      <c r="I72" s="62">
        <f t="shared" ref="I72:I102" si="26">SUM(C72:G72)</f>
        <v>874717.60623214208</v>
      </c>
      <c r="J72" s="2"/>
      <c r="K72" s="189"/>
      <c r="L72" s="2"/>
      <c r="M72" s="2"/>
      <c r="S72" s="523"/>
      <c r="T72" s="523"/>
      <c r="U72" s="523"/>
      <c r="V72" s="523"/>
      <c r="Y72" s="524"/>
    </row>
    <row r="73" spans="1:25" x14ac:dyDescent="0.3">
      <c r="A73" s="36" t="s">
        <v>463</v>
      </c>
      <c r="B73" s="37"/>
      <c r="C73" s="497"/>
      <c r="D73" s="320">
        <v>54970.891664943294</v>
      </c>
      <c r="E73" s="320">
        <v>41001.890328491179</v>
      </c>
      <c r="F73" s="320">
        <v>28154.806302803332</v>
      </c>
      <c r="G73" s="320">
        <v>15096.047995725981</v>
      </c>
      <c r="H73" s="520">
        <f t="shared" si="25"/>
        <v>34805.909072990951</v>
      </c>
      <c r="I73" s="39">
        <f t="shared" si="26"/>
        <v>139223.6362919638</v>
      </c>
      <c r="J73" s="2"/>
      <c r="K73" s="188"/>
      <c r="L73" s="2"/>
      <c r="M73" s="2"/>
      <c r="S73" s="523"/>
      <c r="T73" s="523"/>
      <c r="U73" s="523"/>
      <c r="V73" s="523"/>
      <c r="Y73" s="524"/>
    </row>
    <row r="74" spans="1:25" ht="13.15" customHeight="1" x14ac:dyDescent="0.3">
      <c r="A74" s="36" t="s">
        <v>464</v>
      </c>
      <c r="B74" s="37"/>
      <c r="C74" s="497"/>
      <c r="D74" s="319">
        <v>62807.102082423349</v>
      </c>
      <c r="E74" s="319">
        <v>63760.833741266506</v>
      </c>
      <c r="F74" s="319">
        <v>64441.589692299771</v>
      </c>
      <c r="G74" s="319">
        <v>64119.917548894831</v>
      </c>
      <c r="H74" s="520">
        <f t="shared" si="25"/>
        <v>63782.360766221114</v>
      </c>
      <c r="I74" s="39">
        <f t="shared" si="26"/>
        <v>255129.44306488446</v>
      </c>
      <c r="J74" s="2"/>
      <c r="K74" s="189"/>
      <c r="L74" s="2"/>
      <c r="M74" s="2"/>
      <c r="S74" s="523"/>
      <c r="T74" s="523"/>
      <c r="U74" s="523"/>
      <c r="V74" s="523"/>
      <c r="Y74" s="524"/>
    </row>
    <row r="75" spans="1:25" x14ac:dyDescent="0.3">
      <c r="A75" s="36" t="s">
        <v>465</v>
      </c>
      <c r="B75" s="37"/>
      <c r="C75" s="497"/>
      <c r="D75" s="319">
        <v>14474.775799999945</v>
      </c>
      <c r="E75" s="319">
        <v>14474.775799999945</v>
      </c>
      <c r="F75" s="319">
        <v>14474.775799999945</v>
      </c>
      <c r="G75" s="319">
        <v>14474.775799999945</v>
      </c>
      <c r="H75" s="520">
        <f t="shared" si="25"/>
        <v>14474.775799999945</v>
      </c>
      <c r="I75" s="39">
        <f t="shared" si="26"/>
        <v>57899.103199999779</v>
      </c>
      <c r="J75" s="2"/>
      <c r="K75" s="189"/>
      <c r="L75" s="2"/>
      <c r="M75" s="2"/>
      <c r="S75" s="523"/>
      <c r="T75" s="523"/>
      <c r="U75" s="523"/>
      <c r="V75" s="523"/>
      <c r="Y75" s="524"/>
    </row>
    <row r="76" spans="1:25" x14ac:dyDescent="0.3">
      <c r="A76" s="36" t="s">
        <v>466</v>
      </c>
      <c r="B76" s="37"/>
      <c r="C76" s="497"/>
      <c r="D76" s="319">
        <v>86426.63201066904</v>
      </c>
      <c r="E76" s="319">
        <v>99441.901688277736</v>
      </c>
      <c r="F76" s="319">
        <v>111608.22976293239</v>
      </c>
      <c r="G76" s="319">
        <v>124988.6602134149</v>
      </c>
      <c r="H76" s="520">
        <f t="shared" si="25"/>
        <v>105616.35591882351</v>
      </c>
      <c r="I76" s="39">
        <f t="shared" si="26"/>
        <v>422465.42367529403</v>
      </c>
      <c r="J76" s="2"/>
      <c r="K76" s="189"/>
      <c r="L76" s="2"/>
      <c r="M76" s="2"/>
      <c r="S76" s="523"/>
      <c r="T76" s="523"/>
      <c r="U76" s="523"/>
      <c r="V76" s="523"/>
      <c r="Y76" s="524"/>
    </row>
    <row r="77" spans="1:25" x14ac:dyDescent="0.3">
      <c r="A77" s="116" t="s">
        <v>467</v>
      </c>
      <c r="B77" s="310"/>
      <c r="C77" s="499"/>
      <c r="D77" s="297">
        <f>SUM(D78:D81)</f>
        <v>100848.90497953483</v>
      </c>
      <c r="E77" s="297">
        <f t="shared" ref="E77:G77" si="27">SUM(E78:E81)</f>
        <v>100848.90497953483</v>
      </c>
      <c r="F77" s="297">
        <f t="shared" si="27"/>
        <v>100848.90497953483</v>
      </c>
      <c r="G77" s="297">
        <f t="shared" si="27"/>
        <v>100848.90497953483</v>
      </c>
      <c r="H77" s="62">
        <f t="shared" si="25"/>
        <v>100848.90497953483</v>
      </c>
      <c r="I77" s="62">
        <f t="shared" si="26"/>
        <v>403395.6199181393</v>
      </c>
      <c r="J77" s="2"/>
      <c r="K77" s="197"/>
      <c r="L77" s="2"/>
      <c r="M77" s="2"/>
      <c r="S77" s="523"/>
      <c r="T77" s="523"/>
      <c r="U77" s="523"/>
      <c r="V77" s="523"/>
      <c r="Y77" s="524"/>
    </row>
    <row r="78" spans="1:25" x14ac:dyDescent="0.3">
      <c r="A78" s="36" t="s">
        <v>463</v>
      </c>
      <c r="B78" s="37"/>
      <c r="C78" s="497"/>
      <c r="D78" s="319">
        <v>0</v>
      </c>
      <c r="E78" s="319">
        <v>0</v>
      </c>
      <c r="F78" s="319">
        <v>0</v>
      </c>
      <c r="G78" s="319">
        <v>0</v>
      </c>
      <c r="H78" s="520">
        <f t="shared" si="25"/>
        <v>0</v>
      </c>
      <c r="I78" s="39">
        <f t="shared" si="26"/>
        <v>0</v>
      </c>
      <c r="J78" s="2"/>
      <c r="K78" s="189"/>
      <c r="L78" s="2"/>
      <c r="M78" s="2"/>
      <c r="S78" s="523"/>
      <c r="T78" s="523"/>
      <c r="U78" s="523"/>
      <c r="V78" s="523"/>
      <c r="Y78" s="524"/>
    </row>
    <row r="79" spans="1:25" x14ac:dyDescent="0.3">
      <c r="A79" s="36" t="s">
        <v>464</v>
      </c>
      <c r="B79" s="37"/>
      <c r="C79" s="497"/>
      <c r="D79" s="319">
        <v>100848.90497953483</v>
      </c>
      <c r="E79" s="319">
        <v>100848.90497953483</v>
      </c>
      <c r="F79" s="319">
        <v>100848.90497953483</v>
      </c>
      <c r="G79" s="319">
        <v>100848.90497953483</v>
      </c>
      <c r="H79" s="520">
        <f t="shared" si="25"/>
        <v>100848.90497953483</v>
      </c>
      <c r="I79" s="39">
        <f t="shared" si="26"/>
        <v>403395.6199181393</v>
      </c>
      <c r="J79" s="2"/>
      <c r="K79" s="189"/>
      <c r="L79" s="2"/>
      <c r="M79" s="2"/>
      <c r="S79" s="523"/>
      <c r="T79" s="523"/>
      <c r="U79" s="523"/>
      <c r="V79" s="523"/>
      <c r="Y79" s="524"/>
    </row>
    <row r="80" spans="1:25" x14ac:dyDescent="0.3">
      <c r="A80" s="36" t="s">
        <v>465</v>
      </c>
      <c r="B80" s="37"/>
      <c r="C80" s="497"/>
      <c r="D80" s="319">
        <v>0</v>
      </c>
      <c r="E80" s="319">
        <v>0</v>
      </c>
      <c r="F80" s="319">
        <v>0</v>
      </c>
      <c r="G80" s="319">
        <v>0</v>
      </c>
      <c r="H80" s="520">
        <f t="shared" si="25"/>
        <v>0</v>
      </c>
      <c r="I80" s="39">
        <f t="shared" si="26"/>
        <v>0</v>
      </c>
      <c r="J80" s="2"/>
      <c r="K80" s="189"/>
      <c r="L80" s="2"/>
      <c r="M80" s="2"/>
      <c r="S80" s="523"/>
      <c r="T80" s="523"/>
      <c r="U80" s="523"/>
      <c r="V80" s="523"/>
      <c r="Y80" s="524"/>
    </row>
    <row r="81" spans="1:25" x14ac:dyDescent="0.3">
      <c r="A81" s="36" t="s">
        <v>466</v>
      </c>
      <c r="B81" s="37"/>
      <c r="C81" s="496"/>
      <c r="D81" s="322">
        <v>0</v>
      </c>
      <c r="E81" s="322">
        <v>0</v>
      </c>
      <c r="F81" s="322">
        <v>0</v>
      </c>
      <c r="G81" s="322">
        <v>0</v>
      </c>
      <c r="H81" s="520">
        <f t="shared" si="25"/>
        <v>0</v>
      </c>
      <c r="I81" s="39">
        <f t="shared" si="26"/>
        <v>0</v>
      </c>
      <c r="J81" s="2"/>
      <c r="K81" s="189"/>
      <c r="L81" s="2"/>
      <c r="M81" s="2"/>
      <c r="S81" s="523"/>
      <c r="T81" s="523"/>
      <c r="U81" s="523"/>
      <c r="V81" s="523"/>
      <c r="Y81" s="524"/>
    </row>
    <row r="82" spans="1:25" x14ac:dyDescent="0.3">
      <c r="A82" s="116" t="s">
        <v>468</v>
      </c>
      <c r="B82" s="310"/>
      <c r="C82" s="499"/>
      <c r="D82" s="297">
        <f>SUM(D83:D86)</f>
        <v>0</v>
      </c>
      <c r="E82" s="297">
        <f t="shared" ref="E82:G82" si="28">SUM(E83:E86)</f>
        <v>0</v>
      </c>
      <c r="F82" s="297">
        <f t="shared" si="28"/>
        <v>0</v>
      </c>
      <c r="G82" s="297">
        <f t="shared" si="28"/>
        <v>0</v>
      </c>
      <c r="H82" s="62">
        <f t="shared" si="25"/>
        <v>0</v>
      </c>
      <c r="I82" s="62">
        <f t="shared" si="26"/>
        <v>0</v>
      </c>
      <c r="J82" s="2"/>
      <c r="K82" s="189"/>
      <c r="L82" s="2"/>
      <c r="M82" s="2"/>
      <c r="S82" s="523"/>
      <c r="T82" s="523"/>
      <c r="U82" s="523"/>
      <c r="V82" s="523"/>
      <c r="Y82" s="524"/>
    </row>
    <row r="83" spans="1:25" x14ac:dyDescent="0.3">
      <c r="A83" s="36" t="s">
        <v>463</v>
      </c>
      <c r="B83" s="37"/>
      <c r="C83" s="497"/>
      <c r="D83" s="320">
        <v>0</v>
      </c>
      <c r="E83" s="320">
        <v>0</v>
      </c>
      <c r="F83" s="320">
        <v>0</v>
      </c>
      <c r="G83" s="320">
        <v>0</v>
      </c>
      <c r="H83" s="520">
        <f t="shared" si="25"/>
        <v>0</v>
      </c>
      <c r="I83" s="39">
        <f t="shared" si="26"/>
        <v>0</v>
      </c>
      <c r="J83" s="2"/>
      <c r="K83" s="188"/>
      <c r="L83" s="2"/>
      <c r="M83" s="2"/>
      <c r="S83" s="523"/>
      <c r="T83" s="523"/>
      <c r="U83" s="523"/>
      <c r="V83" s="523"/>
      <c r="Y83" s="524"/>
    </row>
    <row r="84" spans="1:25" ht="13.15" customHeight="1" x14ac:dyDescent="0.3">
      <c r="A84" s="36" t="s">
        <v>464</v>
      </c>
      <c r="B84" s="37"/>
      <c r="C84" s="497"/>
      <c r="D84" s="319">
        <v>0</v>
      </c>
      <c r="E84" s="319">
        <v>0</v>
      </c>
      <c r="F84" s="319">
        <v>0</v>
      </c>
      <c r="G84" s="319">
        <v>0</v>
      </c>
      <c r="H84" s="520">
        <f t="shared" si="25"/>
        <v>0</v>
      </c>
      <c r="I84" s="39">
        <f t="shared" si="26"/>
        <v>0</v>
      </c>
      <c r="J84" s="2"/>
      <c r="K84" s="189"/>
      <c r="L84" s="2"/>
      <c r="M84" s="2"/>
      <c r="S84" s="523"/>
      <c r="T84" s="523"/>
      <c r="U84" s="523"/>
      <c r="V84" s="523"/>
      <c r="Y84" s="524"/>
    </row>
    <row r="85" spans="1:25" x14ac:dyDescent="0.3">
      <c r="A85" s="36" t="s">
        <v>465</v>
      </c>
      <c r="B85" s="37"/>
      <c r="C85" s="497"/>
      <c r="D85" s="319">
        <v>0</v>
      </c>
      <c r="E85" s="319">
        <v>0</v>
      </c>
      <c r="F85" s="319">
        <v>0</v>
      </c>
      <c r="G85" s="319">
        <v>0</v>
      </c>
      <c r="H85" s="520">
        <f t="shared" si="25"/>
        <v>0</v>
      </c>
      <c r="I85" s="39">
        <f t="shared" si="26"/>
        <v>0</v>
      </c>
      <c r="J85" s="2"/>
      <c r="K85" s="189"/>
      <c r="L85" s="2"/>
      <c r="M85" s="2"/>
      <c r="S85" s="523"/>
      <c r="T85" s="523"/>
      <c r="U85" s="523"/>
      <c r="V85" s="523"/>
      <c r="Y85" s="524"/>
    </row>
    <row r="86" spans="1:25" x14ac:dyDescent="0.3">
      <c r="A86" s="36" t="s">
        <v>466</v>
      </c>
      <c r="B86" s="37"/>
      <c r="C86" s="497"/>
      <c r="D86" s="319">
        <v>0</v>
      </c>
      <c r="E86" s="319">
        <v>0</v>
      </c>
      <c r="F86" s="319">
        <v>0</v>
      </c>
      <c r="G86" s="319">
        <v>0</v>
      </c>
      <c r="H86" s="520">
        <f t="shared" si="25"/>
        <v>0</v>
      </c>
      <c r="I86" s="39">
        <f t="shared" si="26"/>
        <v>0</v>
      </c>
      <c r="J86" s="2"/>
      <c r="K86" s="189"/>
      <c r="L86" s="2"/>
      <c r="M86" s="2"/>
      <c r="S86" s="523"/>
      <c r="T86" s="523"/>
      <c r="U86" s="523"/>
      <c r="V86" s="523"/>
      <c r="Y86" s="524"/>
    </row>
    <row r="87" spans="1:25" x14ac:dyDescent="0.3">
      <c r="A87" s="116" t="s">
        <v>257</v>
      </c>
      <c r="B87" s="310"/>
      <c r="C87" s="499"/>
      <c r="D87" s="297">
        <f>SUM(D88:D91)</f>
        <v>12826.998000000003</v>
      </c>
      <c r="E87" s="297">
        <f t="shared" ref="E87:G87" si="29">SUM(E88:E91)</f>
        <v>15940.537914873941</v>
      </c>
      <c r="F87" s="297">
        <f t="shared" si="29"/>
        <v>18140.384807999828</v>
      </c>
      <c r="G87" s="297">
        <f t="shared" si="29"/>
        <v>19177.640194733176</v>
      </c>
      <c r="H87" s="62">
        <f t="shared" si="25"/>
        <v>16521.390229401739</v>
      </c>
      <c r="I87" s="62">
        <f t="shared" si="26"/>
        <v>66085.560917606956</v>
      </c>
      <c r="J87" s="2"/>
      <c r="K87" s="197"/>
      <c r="L87" s="2"/>
      <c r="M87" s="2"/>
      <c r="S87" s="523"/>
      <c r="T87" s="523"/>
      <c r="U87" s="523"/>
      <c r="V87" s="523"/>
      <c r="Y87" s="524"/>
    </row>
    <row r="88" spans="1:25" x14ac:dyDescent="0.3">
      <c r="A88" s="36" t="s">
        <v>463</v>
      </c>
      <c r="B88" s="37"/>
      <c r="C88" s="497"/>
      <c r="D88" s="319">
        <v>12826.998000000003</v>
      </c>
      <c r="E88" s="319">
        <v>12826.998000000003</v>
      </c>
      <c r="F88" s="319">
        <v>12826.998000000003</v>
      </c>
      <c r="G88" s="319">
        <v>12826.998000000003</v>
      </c>
      <c r="H88" s="520">
        <f t="shared" si="25"/>
        <v>12826.998000000003</v>
      </c>
      <c r="I88" s="39">
        <f t="shared" si="26"/>
        <v>51307.992000000013</v>
      </c>
      <c r="J88" s="2"/>
      <c r="K88" s="189"/>
      <c r="L88" s="2"/>
      <c r="M88" s="2"/>
      <c r="S88" s="523"/>
      <c r="T88" s="523"/>
      <c r="U88" s="523"/>
      <c r="V88" s="523"/>
      <c r="Y88" s="524"/>
    </row>
    <row r="89" spans="1:25" x14ac:dyDescent="0.3">
      <c r="A89" s="36" t="s">
        <v>464</v>
      </c>
      <c r="B89" s="37"/>
      <c r="C89" s="497"/>
      <c r="D89" s="319">
        <v>0</v>
      </c>
      <c r="E89" s="319">
        <v>0</v>
      </c>
      <c r="F89" s="319">
        <v>0</v>
      </c>
      <c r="G89" s="319">
        <v>0</v>
      </c>
      <c r="H89" s="520">
        <f t="shared" si="25"/>
        <v>0</v>
      </c>
      <c r="I89" s="39">
        <f t="shared" si="26"/>
        <v>0</v>
      </c>
      <c r="J89" s="2"/>
      <c r="K89" s="189"/>
      <c r="L89" s="2"/>
      <c r="M89" s="2"/>
      <c r="S89" s="523"/>
      <c r="T89" s="523"/>
      <c r="U89" s="523"/>
      <c r="V89" s="523"/>
      <c r="Y89" s="524"/>
    </row>
    <row r="90" spans="1:25" x14ac:dyDescent="0.3">
      <c r="A90" s="36" t="s">
        <v>465</v>
      </c>
      <c r="B90" s="37"/>
      <c r="C90" s="497"/>
      <c r="D90" s="319">
        <v>0</v>
      </c>
      <c r="E90" s="319">
        <v>0</v>
      </c>
      <c r="F90" s="319">
        <v>0</v>
      </c>
      <c r="G90" s="319">
        <v>0</v>
      </c>
      <c r="H90" s="520">
        <f t="shared" si="25"/>
        <v>0</v>
      </c>
      <c r="I90" s="39">
        <f t="shared" si="26"/>
        <v>0</v>
      </c>
      <c r="J90" s="2"/>
      <c r="K90" s="189"/>
      <c r="L90" s="2"/>
      <c r="M90" s="2"/>
      <c r="S90" s="523"/>
      <c r="T90" s="523"/>
      <c r="U90" s="523"/>
      <c r="V90" s="523"/>
      <c r="Y90" s="524"/>
    </row>
    <row r="91" spans="1:25" x14ac:dyDescent="0.3">
      <c r="A91" s="36" t="s">
        <v>466</v>
      </c>
      <c r="B91" s="37"/>
      <c r="C91" s="496"/>
      <c r="D91" s="322">
        <v>0</v>
      </c>
      <c r="E91" s="322">
        <v>3113.5399148739371</v>
      </c>
      <c r="F91" s="322">
        <v>5313.3868079998238</v>
      </c>
      <c r="G91" s="322">
        <v>6350.6421947331719</v>
      </c>
      <c r="H91" s="520">
        <f t="shared" si="25"/>
        <v>3694.3922294017329</v>
      </c>
      <c r="I91" s="39">
        <f t="shared" si="26"/>
        <v>14777.568917606932</v>
      </c>
      <c r="J91" s="2"/>
      <c r="K91" s="189"/>
      <c r="L91" s="2"/>
      <c r="M91" s="2"/>
      <c r="S91" s="523"/>
      <c r="T91" s="523"/>
      <c r="U91" s="523"/>
      <c r="V91" s="523"/>
      <c r="Y91" s="524"/>
    </row>
    <row r="92" spans="1:25" x14ac:dyDescent="0.3">
      <c r="A92" s="116" t="s">
        <v>259</v>
      </c>
      <c r="B92" s="310"/>
      <c r="C92" s="499"/>
      <c r="D92" s="297">
        <f>SUM(D93:D96)</f>
        <v>26566.934039999112</v>
      </c>
      <c r="E92" s="297">
        <f t="shared" ref="E92:G92" si="30">SUM(E93:E96)</f>
        <v>23453.394125125182</v>
      </c>
      <c r="F92" s="297">
        <f t="shared" si="30"/>
        <v>21253.547231999291</v>
      </c>
      <c r="G92" s="297">
        <f t="shared" si="30"/>
        <v>20216.291845265951</v>
      </c>
      <c r="H92" s="62">
        <f t="shared" si="25"/>
        <v>22872.541810597384</v>
      </c>
      <c r="I92" s="62">
        <f t="shared" si="26"/>
        <v>91490.167242389536</v>
      </c>
      <c r="J92" s="2"/>
      <c r="K92" s="189"/>
      <c r="L92" s="2"/>
      <c r="M92" s="2"/>
      <c r="S92" s="523"/>
      <c r="T92" s="523"/>
      <c r="U92" s="523"/>
      <c r="V92" s="523"/>
      <c r="Y92" s="524"/>
    </row>
    <row r="93" spans="1:25" x14ac:dyDescent="0.3">
      <c r="A93" s="36" t="s">
        <v>463</v>
      </c>
      <c r="B93" s="37"/>
      <c r="C93" s="497"/>
      <c r="D93" s="320">
        <v>8855.6446799997047</v>
      </c>
      <c r="E93" s="320">
        <v>5751.8042664182103</v>
      </c>
      <c r="F93" s="320">
        <v>3542.2578719998828</v>
      </c>
      <c r="G93" s="320">
        <v>2508.2368332139422</v>
      </c>
      <c r="H93" s="520">
        <f t="shared" si="25"/>
        <v>5164.485912907935</v>
      </c>
      <c r="I93" s="39">
        <f t="shared" si="26"/>
        <v>20657.94365163174</v>
      </c>
      <c r="J93" s="2"/>
      <c r="K93" s="188"/>
      <c r="L93" s="2"/>
      <c r="M93" s="2"/>
      <c r="S93" s="523"/>
      <c r="T93" s="523"/>
      <c r="U93" s="523"/>
      <c r="V93" s="523"/>
      <c r="Y93" s="524"/>
    </row>
    <row r="94" spans="1:25" ht="13.15" customHeight="1" x14ac:dyDescent="0.3">
      <c r="A94" s="36" t="s">
        <v>464</v>
      </c>
      <c r="B94" s="37"/>
      <c r="C94" s="497"/>
      <c r="D94" s="319">
        <v>17711.289359999409</v>
      </c>
      <c r="E94" s="319">
        <v>17701.589858706971</v>
      </c>
      <c r="F94" s="319">
        <v>17711.289359999409</v>
      </c>
      <c r="G94" s="319">
        <v>17708.055012052009</v>
      </c>
      <c r="H94" s="520">
        <f t="shared" si="25"/>
        <v>17708.05589768945</v>
      </c>
      <c r="I94" s="39">
        <f t="shared" si="26"/>
        <v>70832.2235907578</v>
      </c>
      <c r="J94" s="2"/>
      <c r="K94" s="189"/>
      <c r="L94" s="2"/>
      <c r="M94" s="2"/>
      <c r="S94" s="523"/>
      <c r="T94" s="523"/>
      <c r="U94" s="523"/>
      <c r="V94" s="523"/>
      <c r="Y94" s="524"/>
    </row>
    <row r="95" spans="1:25" x14ac:dyDescent="0.3">
      <c r="A95" s="36" t="s">
        <v>465</v>
      </c>
      <c r="B95" s="37"/>
      <c r="C95" s="497"/>
      <c r="D95" s="319">
        <v>0</v>
      </c>
      <c r="E95" s="319">
        <v>0</v>
      </c>
      <c r="F95" s="319">
        <v>0</v>
      </c>
      <c r="G95" s="319">
        <v>0</v>
      </c>
      <c r="H95" s="520">
        <f t="shared" si="25"/>
        <v>0</v>
      </c>
      <c r="I95" s="39">
        <f t="shared" si="26"/>
        <v>0</v>
      </c>
      <c r="J95" s="2"/>
      <c r="K95" s="189"/>
      <c r="L95" s="2"/>
      <c r="M95" s="2"/>
      <c r="S95" s="523"/>
      <c r="T95" s="523"/>
      <c r="U95" s="523"/>
      <c r="V95" s="523"/>
      <c r="Y95" s="524"/>
    </row>
    <row r="96" spans="1:25" x14ac:dyDescent="0.3">
      <c r="A96" s="36" t="s">
        <v>466</v>
      </c>
      <c r="B96" s="37"/>
      <c r="C96" s="497"/>
      <c r="D96" s="319">
        <v>0</v>
      </c>
      <c r="E96" s="319">
        <v>0</v>
      </c>
      <c r="F96" s="319">
        <v>0</v>
      </c>
      <c r="G96" s="319">
        <v>0</v>
      </c>
      <c r="H96" s="520">
        <f t="shared" si="25"/>
        <v>0</v>
      </c>
      <c r="I96" s="39">
        <f t="shared" si="26"/>
        <v>0</v>
      </c>
      <c r="J96" s="2"/>
      <c r="K96" s="189"/>
      <c r="L96" s="2"/>
      <c r="M96" s="2"/>
      <c r="S96" s="523"/>
      <c r="T96" s="523"/>
      <c r="U96" s="523"/>
      <c r="V96" s="523"/>
      <c r="Y96" s="524"/>
    </row>
    <row r="97" spans="1:25" x14ac:dyDescent="0.3">
      <c r="A97" s="116" t="s">
        <v>447</v>
      </c>
      <c r="B97" s="310"/>
      <c r="C97" s="499"/>
      <c r="D97" s="297">
        <f>SUM(D98:D101)</f>
        <v>0</v>
      </c>
      <c r="E97" s="297">
        <f t="shared" ref="E97:G97" si="31">SUM(E98:E101)</f>
        <v>0</v>
      </c>
      <c r="F97" s="297">
        <f t="shared" si="31"/>
        <v>0</v>
      </c>
      <c r="G97" s="297">
        <f t="shared" si="31"/>
        <v>0</v>
      </c>
      <c r="H97" s="62">
        <f t="shared" si="25"/>
        <v>0</v>
      </c>
      <c r="I97" s="62">
        <f t="shared" si="26"/>
        <v>0</v>
      </c>
      <c r="J97" s="2"/>
      <c r="K97" s="197"/>
      <c r="L97" s="2"/>
      <c r="M97" s="2"/>
      <c r="S97" s="523"/>
      <c r="T97" s="523"/>
      <c r="U97" s="523"/>
      <c r="V97" s="523"/>
      <c r="Y97" s="524"/>
    </row>
    <row r="98" spans="1:25" x14ac:dyDescent="0.3">
      <c r="A98" s="36" t="s">
        <v>463</v>
      </c>
      <c r="B98" s="37"/>
      <c r="C98" s="497"/>
      <c r="D98" s="319">
        <v>0</v>
      </c>
      <c r="E98" s="319">
        <v>0</v>
      </c>
      <c r="F98" s="319">
        <v>0</v>
      </c>
      <c r="G98" s="319">
        <v>0</v>
      </c>
      <c r="H98" s="520">
        <f t="shared" si="25"/>
        <v>0</v>
      </c>
      <c r="I98" s="39">
        <f t="shared" si="26"/>
        <v>0</v>
      </c>
      <c r="J98" s="2"/>
      <c r="K98" s="189"/>
      <c r="L98" s="2"/>
      <c r="M98" s="2"/>
      <c r="S98" s="523"/>
      <c r="T98" s="523"/>
      <c r="U98" s="523"/>
      <c r="V98" s="523"/>
      <c r="Y98" s="524"/>
    </row>
    <row r="99" spans="1:25" x14ac:dyDescent="0.3">
      <c r="A99" s="36" t="s">
        <v>464</v>
      </c>
      <c r="B99" s="37"/>
      <c r="C99" s="497"/>
      <c r="D99" s="319">
        <v>0</v>
      </c>
      <c r="E99" s="319">
        <v>0</v>
      </c>
      <c r="F99" s="319">
        <v>0</v>
      </c>
      <c r="G99" s="319">
        <v>0</v>
      </c>
      <c r="H99" s="520">
        <f t="shared" si="25"/>
        <v>0</v>
      </c>
      <c r="I99" s="39">
        <f t="shared" si="26"/>
        <v>0</v>
      </c>
      <c r="J99" s="2"/>
      <c r="K99" s="189"/>
      <c r="L99" s="2"/>
      <c r="M99" s="2"/>
      <c r="S99" s="523"/>
      <c r="T99" s="523"/>
      <c r="U99" s="523"/>
      <c r="V99" s="523"/>
      <c r="Y99" s="524"/>
    </row>
    <row r="100" spans="1:25" x14ac:dyDescent="0.3">
      <c r="A100" s="36" t="s">
        <v>465</v>
      </c>
      <c r="B100" s="37"/>
      <c r="C100" s="497"/>
      <c r="D100" s="319">
        <v>0</v>
      </c>
      <c r="E100" s="319">
        <v>0</v>
      </c>
      <c r="F100" s="319">
        <v>0</v>
      </c>
      <c r="G100" s="319">
        <v>0</v>
      </c>
      <c r="H100" s="520">
        <f t="shared" si="25"/>
        <v>0</v>
      </c>
      <c r="I100" s="39">
        <f t="shared" si="26"/>
        <v>0</v>
      </c>
      <c r="J100" s="2"/>
      <c r="K100" s="189"/>
      <c r="L100" s="2"/>
      <c r="M100" s="2"/>
      <c r="S100" s="523"/>
      <c r="T100" s="523"/>
      <c r="U100" s="523"/>
      <c r="V100" s="523"/>
      <c r="Y100" s="524"/>
    </row>
    <row r="101" spans="1:25" x14ac:dyDescent="0.3">
      <c r="A101" s="36" t="s">
        <v>466</v>
      </c>
      <c r="B101" s="37"/>
      <c r="C101" s="496"/>
      <c r="D101" s="322">
        <v>0</v>
      </c>
      <c r="E101" s="322">
        <v>0</v>
      </c>
      <c r="F101" s="322">
        <v>0</v>
      </c>
      <c r="G101" s="322">
        <v>0</v>
      </c>
      <c r="H101" s="520">
        <f t="shared" si="25"/>
        <v>0</v>
      </c>
      <c r="I101" s="39">
        <f t="shared" si="26"/>
        <v>0</v>
      </c>
      <c r="J101" s="2"/>
      <c r="K101" s="189"/>
      <c r="L101" s="2"/>
      <c r="M101" s="2"/>
      <c r="S101" s="523"/>
      <c r="T101" s="523"/>
      <c r="U101" s="523"/>
      <c r="V101" s="523"/>
      <c r="Y101" s="524"/>
    </row>
    <row r="102" spans="1:25" x14ac:dyDescent="0.3">
      <c r="A102" s="18" t="s">
        <v>331</v>
      </c>
      <c r="B102" s="34"/>
      <c r="C102" s="476"/>
      <c r="D102" s="19">
        <f>D9+D40+D71</f>
        <v>9331978.2030168064</v>
      </c>
      <c r="E102" s="19">
        <f>E9+E40+E71</f>
        <v>9331978.2030168027</v>
      </c>
      <c r="F102" s="19">
        <f>F9+F40+F71</f>
        <v>9331978.2030168045</v>
      </c>
      <c r="G102" s="19">
        <f>G9+G40+G71</f>
        <v>9331978.2030168083</v>
      </c>
      <c r="H102" s="20">
        <f t="shared" si="25"/>
        <v>9331978.2030168064</v>
      </c>
      <c r="I102" s="35">
        <f t="shared" si="26"/>
        <v>37327912.812067226</v>
      </c>
      <c r="J102" s="2"/>
      <c r="K102" s="197"/>
      <c r="L102" s="2"/>
      <c r="M102" s="2"/>
      <c r="S102" s="523"/>
      <c r="T102" s="523"/>
      <c r="U102" s="523"/>
      <c r="V102" s="523"/>
      <c r="Y102" s="524"/>
    </row>
    <row r="103" spans="1:25" x14ac:dyDescent="0.3">
      <c r="H103" s="2"/>
      <c r="I103" s="2"/>
      <c r="J103" s="2"/>
      <c r="K103" s="2"/>
      <c r="L103" s="2"/>
      <c r="M103" s="2"/>
      <c r="S103" s="523"/>
      <c r="T103" s="523"/>
      <c r="U103" s="523"/>
      <c r="V103" s="523"/>
      <c r="Y103" s="524"/>
    </row>
    <row r="104" spans="1:25" ht="27.65" customHeight="1" x14ac:dyDescent="0.3">
      <c r="A104" s="666" t="s">
        <v>102</v>
      </c>
      <c r="B104" s="655"/>
      <c r="C104" s="3" t="str">
        <f>Annee0</f>
        <v>Année 0</v>
      </c>
      <c r="D104" s="3" t="str">
        <f>Annee1</f>
        <v>Année 1</v>
      </c>
      <c r="E104" s="3" t="str">
        <f>Annee2</f>
        <v>Année 2</v>
      </c>
      <c r="F104" s="3" t="str">
        <f>Annee3</f>
        <v>Année 3</v>
      </c>
      <c r="G104" s="3" t="str">
        <f>Annee4</f>
        <v>Année 4</v>
      </c>
      <c r="H104" s="515" t="s">
        <v>256</v>
      </c>
      <c r="I104" s="181" t="s">
        <v>59</v>
      </c>
      <c r="J104" s="2"/>
      <c r="K104" s="661" t="s">
        <v>290</v>
      </c>
      <c r="L104" s="2"/>
      <c r="M104" s="2"/>
      <c r="S104" s="523"/>
      <c r="T104" s="523"/>
      <c r="U104" s="523"/>
      <c r="V104" s="523"/>
      <c r="Y104" s="524"/>
    </row>
    <row r="105" spans="1:25" x14ac:dyDescent="0.3">
      <c r="A105" s="667"/>
      <c r="B105" s="656"/>
      <c r="C105" s="77">
        <v>12</v>
      </c>
      <c r="D105" s="77">
        <v>12</v>
      </c>
      <c r="E105" s="77">
        <v>12</v>
      </c>
      <c r="F105" s="77">
        <v>12</v>
      </c>
      <c r="G105" s="77">
        <v>12</v>
      </c>
      <c r="H105" s="78">
        <f t="shared" ref="H105:H136" si="32">IFERROR(AVERAGE(C105:G105),0)</f>
        <v>12</v>
      </c>
      <c r="I105" s="78">
        <f t="shared" ref="I105:I136" si="33">SUM(C105:G105)</f>
        <v>60</v>
      </c>
      <c r="J105" s="2"/>
      <c r="K105" s="674"/>
      <c r="L105" s="2"/>
      <c r="M105" s="2"/>
      <c r="S105" s="523"/>
      <c r="T105" s="523"/>
      <c r="U105" s="523"/>
      <c r="V105" s="523"/>
      <c r="Y105" s="524"/>
    </row>
    <row r="106" spans="1:25" x14ac:dyDescent="0.3">
      <c r="A106" s="115" t="s">
        <v>258</v>
      </c>
      <c r="B106" s="53"/>
      <c r="C106" s="474"/>
      <c r="D106" s="223">
        <f>SUM(D107:D110)</f>
        <v>121.27123287671235</v>
      </c>
      <c r="E106" s="223">
        <f>SUM(E107:E110)</f>
        <v>119.44383561643838</v>
      </c>
      <c r="F106" s="223">
        <f t="shared" ref="F106:G106" si="34">SUM(F107:F110)</f>
        <v>119.00819672131148</v>
      </c>
      <c r="G106" s="223">
        <f t="shared" si="34"/>
        <v>119.0219178082192</v>
      </c>
      <c r="H106" s="300">
        <f t="shared" si="32"/>
        <v>119.68629575567036</v>
      </c>
      <c r="I106" s="300">
        <f t="shared" si="33"/>
        <v>478.74518302268143</v>
      </c>
      <c r="J106" s="2"/>
      <c r="K106" s="189"/>
      <c r="L106" s="2"/>
      <c r="M106" s="2"/>
      <c r="S106" s="523"/>
      <c r="T106" s="523"/>
      <c r="U106" s="523"/>
      <c r="V106" s="523"/>
      <c r="Y106" s="524"/>
    </row>
    <row r="107" spans="1:25" x14ac:dyDescent="0.3">
      <c r="A107" s="36" t="s">
        <v>463</v>
      </c>
      <c r="B107" s="37"/>
      <c r="C107" s="497"/>
      <c r="D107" s="320">
        <v>35.580821917808223</v>
      </c>
      <c r="E107" s="320">
        <v>24.580821917808219</v>
      </c>
      <c r="F107" s="320">
        <v>18.254098360655739</v>
      </c>
      <c r="G107" s="320">
        <v>12.331506849315069</v>
      </c>
      <c r="H107" s="520">
        <f t="shared" si="32"/>
        <v>22.686812261396817</v>
      </c>
      <c r="I107" s="39">
        <f t="shared" si="33"/>
        <v>90.747249045587267</v>
      </c>
      <c r="J107" s="2"/>
      <c r="K107" s="188"/>
      <c r="L107" s="2"/>
      <c r="M107" s="2"/>
      <c r="S107" s="523"/>
      <c r="T107" s="523"/>
      <c r="U107" s="523"/>
      <c r="V107" s="523"/>
      <c r="Y107" s="524"/>
    </row>
    <row r="108" spans="1:25" ht="13.15" customHeight="1" x14ac:dyDescent="0.3">
      <c r="A108" s="36" t="s">
        <v>464</v>
      </c>
      <c r="B108" s="37"/>
      <c r="C108" s="497"/>
      <c r="D108" s="319">
        <v>36</v>
      </c>
      <c r="E108" s="319">
        <v>36</v>
      </c>
      <c r="F108" s="319">
        <v>36</v>
      </c>
      <c r="G108" s="319">
        <v>36</v>
      </c>
      <c r="H108" s="520">
        <f t="shared" si="32"/>
        <v>36</v>
      </c>
      <c r="I108" s="39">
        <f t="shared" si="33"/>
        <v>144</v>
      </c>
      <c r="J108" s="2"/>
      <c r="K108" s="189"/>
      <c r="L108" s="2"/>
      <c r="M108" s="2"/>
      <c r="S108" s="523"/>
      <c r="T108" s="523"/>
      <c r="U108" s="523"/>
      <c r="V108" s="523"/>
      <c r="Y108" s="524"/>
    </row>
    <row r="109" spans="1:25" x14ac:dyDescent="0.3">
      <c r="A109" s="36" t="s">
        <v>465</v>
      </c>
      <c r="B109" s="37"/>
      <c r="C109" s="497"/>
      <c r="D109" s="319">
        <v>9</v>
      </c>
      <c r="E109" s="319">
        <v>9</v>
      </c>
      <c r="F109" s="319">
        <v>9</v>
      </c>
      <c r="G109" s="319">
        <v>9</v>
      </c>
      <c r="H109" s="520">
        <f t="shared" si="32"/>
        <v>9</v>
      </c>
      <c r="I109" s="39">
        <f t="shared" si="33"/>
        <v>36</v>
      </c>
      <c r="J109" s="2"/>
      <c r="K109" s="189"/>
      <c r="L109" s="2"/>
      <c r="M109" s="2"/>
      <c r="S109" s="523"/>
      <c r="T109" s="523"/>
      <c r="U109" s="523"/>
      <c r="V109" s="523"/>
      <c r="Y109" s="524"/>
    </row>
    <row r="110" spans="1:25" x14ac:dyDescent="0.3">
      <c r="A110" s="36" t="s">
        <v>466</v>
      </c>
      <c r="B110" s="37"/>
      <c r="C110" s="497"/>
      <c r="D110" s="319">
        <v>40.690410958904124</v>
      </c>
      <c r="E110" s="319">
        <v>49.863013698630155</v>
      </c>
      <c r="F110" s="319">
        <v>55.754098360655739</v>
      </c>
      <c r="G110" s="319">
        <v>61.690410958904124</v>
      </c>
      <c r="H110" s="520">
        <f t="shared" si="32"/>
        <v>51.999483494273534</v>
      </c>
      <c r="I110" s="39">
        <f t="shared" si="33"/>
        <v>207.99793397709414</v>
      </c>
      <c r="J110" s="2"/>
      <c r="K110" s="189"/>
      <c r="L110" s="2"/>
      <c r="M110" s="2"/>
      <c r="S110" s="523"/>
      <c r="T110" s="523"/>
      <c r="U110" s="523"/>
      <c r="V110" s="523"/>
      <c r="Y110" s="524"/>
    </row>
    <row r="111" spans="1:25" x14ac:dyDescent="0.3">
      <c r="A111" s="115" t="s">
        <v>467</v>
      </c>
      <c r="B111" s="53"/>
      <c r="C111" s="474"/>
      <c r="D111" s="223">
        <f>SUM(D112:D115)</f>
        <v>41</v>
      </c>
      <c r="E111" s="223">
        <f t="shared" ref="E111:G111" si="35">SUM(E112:E115)</f>
        <v>41</v>
      </c>
      <c r="F111" s="223">
        <f t="shared" si="35"/>
        <v>41</v>
      </c>
      <c r="G111" s="223">
        <f t="shared" si="35"/>
        <v>41</v>
      </c>
      <c r="H111" s="300">
        <f t="shared" si="32"/>
        <v>41</v>
      </c>
      <c r="I111" s="300">
        <f t="shared" si="33"/>
        <v>164</v>
      </c>
      <c r="J111" s="2"/>
      <c r="K111" s="197"/>
      <c r="L111" s="2"/>
      <c r="M111" s="2"/>
      <c r="S111" s="523"/>
      <c r="T111" s="523"/>
      <c r="U111" s="523"/>
      <c r="V111" s="523"/>
      <c r="Y111" s="524"/>
    </row>
    <row r="112" spans="1:25" x14ac:dyDescent="0.3">
      <c r="A112" s="36" t="s">
        <v>463</v>
      </c>
      <c r="B112" s="37"/>
      <c r="C112" s="497"/>
      <c r="D112" s="319">
        <v>0</v>
      </c>
      <c r="E112" s="319">
        <v>0</v>
      </c>
      <c r="F112" s="319">
        <v>0</v>
      </c>
      <c r="G112" s="319">
        <v>0</v>
      </c>
      <c r="H112" s="520">
        <f t="shared" si="32"/>
        <v>0</v>
      </c>
      <c r="I112" s="39">
        <f t="shared" si="33"/>
        <v>0</v>
      </c>
      <c r="J112" s="2"/>
      <c r="K112" s="189"/>
      <c r="L112" s="2"/>
      <c r="M112" s="2"/>
      <c r="S112" s="523"/>
      <c r="T112" s="523"/>
      <c r="U112" s="523"/>
      <c r="V112" s="523"/>
      <c r="Y112" s="524"/>
    </row>
    <row r="113" spans="1:25" x14ac:dyDescent="0.3">
      <c r="A113" s="36" t="s">
        <v>464</v>
      </c>
      <c r="B113" s="37"/>
      <c r="C113" s="497"/>
      <c r="D113" s="319">
        <v>41</v>
      </c>
      <c r="E113" s="319">
        <v>41</v>
      </c>
      <c r="F113" s="319">
        <v>41</v>
      </c>
      <c r="G113" s="319">
        <v>41</v>
      </c>
      <c r="H113" s="520">
        <f t="shared" si="32"/>
        <v>41</v>
      </c>
      <c r="I113" s="39">
        <f t="shared" si="33"/>
        <v>164</v>
      </c>
      <c r="J113" s="2"/>
      <c r="K113" s="189"/>
      <c r="L113" s="2"/>
      <c r="M113" s="2"/>
      <c r="S113" s="523"/>
      <c r="T113" s="523"/>
      <c r="U113" s="523"/>
      <c r="V113" s="523"/>
      <c r="Y113" s="524"/>
    </row>
    <row r="114" spans="1:25" x14ac:dyDescent="0.3">
      <c r="A114" s="36" t="s">
        <v>465</v>
      </c>
      <c r="B114" s="37"/>
      <c r="C114" s="497"/>
      <c r="D114" s="319">
        <v>0</v>
      </c>
      <c r="E114" s="319">
        <v>0</v>
      </c>
      <c r="F114" s="319">
        <v>0</v>
      </c>
      <c r="G114" s="319">
        <v>0</v>
      </c>
      <c r="H114" s="520">
        <f t="shared" si="32"/>
        <v>0</v>
      </c>
      <c r="I114" s="39">
        <f t="shared" si="33"/>
        <v>0</v>
      </c>
      <c r="J114" s="2"/>
      <c r="K114" s="189"/>
      <c r="L114" s="2"/>
      <c r="M114" s="2"/>
      <c r="S114" s="523"/>
      <c r="T114" s="523"/>
      <c r="U114" s="523"/>
      <c r="V114" s="523"/>
      <c r="Y114" s="524"/>
    </row>
    <row r="115" spans="1:25" x14ac:dyDescent="0.3">
      <c r="A115" s="36" t="s">
        <v>466</v>
      </c>
      <c r="B115" s="37"/>
      <c r="C115" s="496"/>
      <c r="D115" s="322">
        <v>0</v>
      </c>
      <c r="E115" s="322">
        <v>0</v>
      </c>
      <c r="F115" s="322">
        <v>0</v>
      </c>
      <c r="G115" s="322">
        <v>0</v>
      </c>
      <c r="H115" s="520">
        <f t="shared" si="32"/>
        <v>0</v>
      </c>
      <c r="I115" s="39">
        <f t="shared" si="33"/>
        <v>0</v>
      </c>
      <c r="J115" s="2"/>
      <c r="K115" s="189"/>
      <c r="L115" s="2"/>
      <c r="M115" s="2"/>
      <c r="S115" s="523"/>
      <c r="T115" s="523"/>
      <c r="U115" s="523"/>
      <c r="V115" s="523"/>
      <c r="Y115" s="524"/>
    </row>
    <row r="116" spans="1:25" x14ac:dyDescent="0.3">
      <c r="A116" s="115" t="s">
        <v>468</v>
      </c>
      <c r="B116" s="53"/>
      <c r="C116" s="474"/>
      <c r="D116" s="223">
        <f>SUM(D117:D120)</f>
        <v>0</v>
      </c>
      <c r="E116" s="223">
        <f t="shared" ref="E116:G116" si="36">SUM(E117:E120)</f>
        <v>0</v>
      </c>
      <c r="F116" s="223">
        <f t="shared" si="36"/>
        <v>0</v>
      </c>
      <c r="G116" s="223">
        <f t="shared" si="36"/>
        <v>0</v>
      </c>
      <c r="H116" s="300">
        <f t="shared" si="32"/>
        <v>0</v>
      </c>
      <c r="I116" s="300">
        <f t="shared" si="33"/>
        <v>0</v>
      </c>
      <c r="J116" s="2"/>
      <c r="K116" s="189"/>
      <c r="L116" s="2"/>
      <c r="M116" s="2"/>
      <c r="S116" s="523"/>
      <c r="T116" s="523"/>
      <c r="U116" s="523"/>
      <c r="V116" s="523"/>
      <c r="Y116" s="524"/>
    </row>
    <row r="117" spans="1:25" x14ac:dyDescent="0.3">
      <c r="A117" s="36" t="s">
        <v>463</v>
      </c>
      <c r="B117" s="37"/>
      <c r="C117" s="497"/>
      <c r="D117" s="320">
        <v>0</v>
      </c>
      <c r="E117" s="320">
        <v>0</v>
      </c>
      <c r="F117" s="320">
        <v>0</v>
      </c>
      <c r="G117" s="320">
        <v>0</v>
      </c>
      <c r="H117" s="520">
        <f t="shared" si="32"/>
        <v>0</v>
      </c>
      <c r="I117" s="39">
        <f t="shared" si="33"/>
        <v>0</v>
      </c>
      <c r="J117" s="2"/>
      <c r="K117" s="188"/>
      <c r="L117" s="2"/>
      <c r="M117" s="2"/>
      <c r="S117" s="523"/>
      <c r="T117" s="523"/>
      <c r="U117" s="523"/>
      <c r="V117" s="523"/>
      <c r="Y117" s="524"/>
    </row>
    <row r="118" spans="1:25" ht="13.15" customHeight="1" x14ac:dyDescent="0.3">
      <c r="A118" s="36" t="s">
        <v>464</v>
      </c>
      <c r="B118" s="37"/>
      <c r="C118" s="497"/>
      <c r="D118" s="319">
        <v>0</v>
      </c>
      <c r="E118" s="319">
        <v>0</v>
      </c>
      <c r="F118" s="319">
        <v>0</v>
      </c>
      <c r="G118" s="319">
        <v>0</v>
      </c>
      <c r="H118" s="520">
        <f t="shared" si="32"/>
        <v>0</v>
      </c>
      <c r="I118" s="39">
        <f t="shared" si="33"/>
        <v>0</v>
      </c>
      <c r="J118" s="2"/>
      <c r="K118" s="189"/>
      <c r="L118" s="2"/>
      <c r="M118" s="2"/>
      <c r="S118" s="523"/>
      <c r="T118" s="523"/>
      <c r="U118" s="523"/>
      <c r="V118" s="523"/>
      <c r="Y118" s="524"/>
    </row>
    <row r="119" spans="1:25" x14ac:dyDescent="0.3">
      <c r="A119" s="36" t="s">
        <v>465</v>
      </c>
      <c r="B119" s="37"/>
      <c r="C119" s="497"/>
      <c r="D119" s="319">
        <v>0</v>
      </c>
      <c r="E119" s="319">
        <v>0</v>
      </c>
      <c r="F119" s="319">
        <v>0</v>
      </c>
      <c r="G119" s="319">
        <v>0</v>
      </c>
      <c r="H119" s="520">
        <f t="shared" si="32"/>
        <v>0</v>
      </c>
      <c r="I119" s="39">
        <f t="shared" si="33"/>
        <v>0</v>
      </c>
      <c r="J119" s="2"/>
      <c r="K119" s="189"/>
      <c r="L119" s="2"/>
      <c r="M119" s="2"/>
      <c r="S119" s="523"/>
      <c r="T119" s="523"/>
      <c r="U119" s="523"/>
      <c r="V119" s="523"/>
      <c r="Y119" s="524"/>
    </row>
    <row r="120" spans="1:25" x14ac:dyDescent="0.3">
      <c r="A120" s="36" t="s">
        <v>466</v>
      </c>
      <c r="B120" s="37"/>
      <c r="C120" s="497"/>
      <c r="D120" s="319">
        <v>0</v>
      </c>
      <c r="E120" s="319">
        <v>0</v>
      </c>
      <c r="F120" s="319">
        <v>0</v>
      </c>
      <c r="G120" s="319">
        <v>0</v>
      </c>
      <c r="H120" s="520">
        <f t="shared" si="32"/>
        <v>0</v>
      </c>
      <c r="I120" s="39">
        <f t="shared" si="33"/>
        <v>0</v>
      </c>
      <c r="J120" s="2"/>
      <c r="K120" s="189"/>
      <c r="L120" s="2"/>
      <c r="M120" s="2"/>
      <c r="S120" s="523"/>
      <c r="T120" s="523"/>
      <c r="U120" s="523"/>
      <c r="V120" s="523"/>
      <c r="Y120" s="524"/>
    </row>
    <row r="121" spans="1:25" x14ac:dyDescent="0.3">
      <c r="A121" s="115" t="s">
        <v>257</v>
      </c>
      <c r="B121" s="53"/>
      <c r="C121" s="474"/>
      <c r="D121" s="223">
        <f>SUM(D122:D125)</f>
        <v>11</v>
      </c>
      <c r="E121" s="223">
        <f t="shared" ref="E121:G121" si="37">SUM(E122:E125)</f>
        <v>11</v>
      </c>
      <c r="F121" s="223">
        <f t="shared" si="37"/>
        <v>12.754098360655737</v>
      </c>
      <c r="G121" s="223">
        <f t="shared" si="37"/>
        <v>14</v>
      </c>
      <c r="H121" s="300">
        <f t="shared" si="32"/>
        <v>12.188524590163935</v>
      </c>
      <c r="I121" s="300">
        <f t="shared" si="33"/>
        <v>48.754098360655739</v>
      </c>
      <c r="J121" s="2"/>
      <c r="K121" s="197"/>
      <c r="L121" s="2"/>
      <c r="M121" s="2"/>
      <c r="S121" s="523"/>
      <c r="T121" s="523"/>
      <c r="U121" s="523"/>
      <c r="V121" s="523"/>
      <c r="Y121" s="524"/>
    </row>
    <row r="122" spans="1:25" x14ac:dyDescent="0.3">
      <c r="A122" s="36" t="s">
        <v>463</v>
      </c>
      <c r="B122" s="37"/>
      <c r="C122" s="497"/>
      <c r="D122" s="319">
        <v>11</v>
      </c>
      <c r="E122" s="319">
        <v>11</v>
      </c>
      <c r="F122" s="319">
        <v>11</v>
      </c>
      <c r="G122" s="319">
        <v>11</v>
      </c>
      <c r="H122" s="520">
        <f t="shared" si="32"/>
        <v>11</v>
      </c>
      <c r="I122" s="39">
        <f t="shared" si="33"/>
        <v>44</v>
      </c>
      <c r="J122" s="2"/>
      <c r="K122" s="189"/>
      <c r="L122" s="2"/>
      <c r="M122" s="2"/>
      <c r="S122" s="523"/>
      <c r="T122" s="523"/>
      <c r="U122" s="523"/>
      <c r="V122" s="523"/>
      <c r="Y122" s="524"/>
    </row>
    <row r="123" spans="1:25" x14ac:dyDescent="0.3">
      <c r="A123" s="36" t="s">
        <v>464</v>
      </c>
      <c r="B123" s="37"/>
      <c r="C123" s="497"/>
      <c r="D123" s="319">
        <v>0</v>
      </c>
      <c r="E123" s="319">
        <v>0</v>
      </c>
      <c r="F123" s="319">
        <v>0</v>
      </c>
      <c r="G123" s="319">
        <v>0</v>
      </c>
      <c r="H123" s="520">
        <f t="shared" si="32"/>
        <v>0</v>
      </c>
      <c r="I123" s="39">
        <f t="shared" si="33"/>
        <v>0</v>
      </c>
      <c r="J123" s="2"/>
      <c r="K123" s="189"/>
      <c r="L123" s="2"/>
      <c r="M123" s="2"/>
      <c r="S123" s="523"/>
      <c r="T123" s="523"/>
      <c r="U123" s="523"/>
      <c r="V123" s="523"/>
      <c r="Y123" s="524"/>
    </row>
    <row r="124" spans="1:25" x14ac:dyDescent="0.3">
      <c r="A124" s="36" t="s">
        <v>465</v>
      </c>
      <c r="B124" s="37"/>
      <c r="C124" s="497"/>
      <c r="D124" s="319">
        <v>0</v>
      </c>
      <c r="E124" s="319">
        <v>0</v>
      </c>
      <c r="F124" s="319">
        <v>0</v>
      </c>
      <c r="G124" s="319">
        <v>0</v>
      </c>
      <c r="H124" s="520">
        <f t="shared" si="32"/>
        <v>0</v>
      </c>
      <c r="I124" s="39">
        <f t="shared" si="33"/>
        <v>0</v>
      </c>
      <c r="J124" s="2"/>
      <c r="K124" s="189"/>
      <c r="L124" s="2"/>
      <c r="M124" s="2"/>
      <c r="S124" s="523"/>
      <c r="T124" s="523"/>
      <c r="U124" s="523"/>
      <c r="V124" s="523"/>
      <c r="Y124" s="524"/>
    </row>
    <row r="125" spans="1:25" x14ac:dyDescent="0.3">
      <c r="A125" s="36" t="s">
        <v>466</v>
      </c>
      <c r="B125" s="37"/>
      <c r="C125" s="496"/>
      <c r="D125" s="322">
        <v>0</v>
      </c>
      <c r="E125" s="322">
        <v>0</v>
      </c>
      <c r="F125" s="322">
        <v>1.7540983606557377</v>
      </c>
      <c r="G125" s="322">
        <v>3</v>
      </c>
      <c r="H125" s="520">
        <f t="shared" si="32"/>
        <v>1.1885245901639343</v>
      </c>
      <c r="I125" s="39">
        <f t="shared" si="33"/>
        <v>4.7540983606557372</v>
      </c>
      <c r="J125" s="2"/>
      <c r="K125" s="189"/>
      <c r="L125" s="2"/>
      <c r="M125" s="2"/>
      <c r="S125" s="523"/>
      <c r="T125" s="523"/>
      <c r="U125" s="523"/>
      <c r="V125" s="523"/>
      <c r="Y125" s="524"/>
    </row>
    <row r="126" spans="1:25" x14ac:dyDescent="0.3">
      <c r="A126" s="115" t="s">
        <v>259</v>
      </c>
      <c r="B126" s="53"/>
      <c r="C126" s="474"/>
      <c r="D126" s="223">
        <f>SUM(D127:D130)</f>
        <v>15</v>
      </c>
      <c r="E126" s="223">
        <f t="shared" ref="E126:G126" si="38">SUM(E127:E130)</f>
        <v>15</v>
      </c>
      <c r="F126" s="223">
        <f t="shared" si="38"/>
        <v>13.254098360655737</v>
      </c>
      <c r="G126" s="223">
        <f t="shared" si="38"/>
        <v>12</v>
      </c>
      <c r="H126" s="300">
        <f t="shared" si="32"/>
        <v>13.813524590163935</v>
      </c>
      <c r="I126" s="300">
        <f t="shared" si="33"/>
        <v>55.254098360655739</v>
      </c>
      <c r="J126" s="2"/>
      <c r="K126" s="189"/>
      <c r="L126" s="2"/>
      <c r="M126" s="2"/>
      <c r="S126" s="523"/>
      <c r="T126" s="523"/>
      <c r="U126" s="523"/>
      <c r="V126" s="523"/>
      <c r="Y126" s="524"/>
    </row>
    <row r="127" spans="1:25" x14ac:dyDescent="0.3">
      <c r="A127" s="36" t="s">
        <v>463</v>
      </c>
      <c r="B127" s="37"/>
      <c r="C127" s="497"/>
      <c r="D127" s="320">
        <v>5</v>
      </c>
      <c r="E127" s="320">
        <v>5</v>
      </c>
      <c r="F127" s="320">
        <v>3.2540983606557377</v>
      </c>
      <c r="G127" s="320">
        <v>2</v>
      </c>
      <c r="H127" s="520">
        <f t="shared" si="32"/>
        <v>3.8135245901639343</v>
      </c>
      <c r="I127" s="39">
        <f t="shared" si="33"/>
        <v>15.254098360655737</v>
      </c>
      <c r="J127" s="2"/>
      <c r="K127" s="188"/>
      <c r="L127" s="2"/>
      <c r="M127" s="2"/>
      <c r="S127" s="523"/>
      <c r="T127" s="523"/>
      <c r="U127" s="523"/>
      <c r="V127" s="523"/>
      <c r="Y127" s="524"/>
    </row>
    <row r="128" spans="1:25" ht="13.15" customHeight="1" x14ac:dyDescent="0.3">
      <c r="A128" s="36" t="s">
        <v>464</v>
      </c>
      <c r="B128" s="37"/>
      <c r="C128" s="497"/>
      <c r="D128" s="319">
        <v>10</v>
      </c>
      <c r="E128" s="319">
        <v>10</v>
      </c>
      <c r="F128" s="319">
        <v>10</v>
      </c>
      <c r="G128" s="319">
        <v>10</v>
      </c>
      <c r="H128" s="520">
        <f t="shared" si="32"/>
        <v>10</v>
      </c>
      <c r="I128" s="39">
        <f t="shared" si="33"/>
        <v>40</v>
      </c>
      <c r="J128" s="2"/>
      <c r="K128" s="189"/>
      <c r="L128" s="2"/>
      <c r="M128" s="2"/>
      <c r="S128" s="523"/>
      <c r="T128" s="523"/>
      <c r="U128" s="523"/>
      <c r="V128" s="523"/>
      <c r="Y128" s="524"/>
    </row>
    <row r="129" spans="1:25" x14ac:dyDescent="0.3">
      <c r="A129" s="36" t="s">
        <v>465</v>
      </c>
      <c r="B129" s="37"/>
      <c r="C129" s="497"/>
      <c r="D129" s="319">
        <v>0</v>
      </c>
      <c r="E129" s="319">
        <v>0</v>
      </c>
      <c r="F129" s="319">
        <v>0</v>
      </c>
      <c r="G129" s="319">
        <v>0</v>
      </c>
      <c r="H129" s="520">
        <f t="shared" si="32"/>
        <v>0</v>
      </c>
      <c r="I129" s="39">
        <f t="shared" si="33"/>
        <v>0</v>
      </c>
      <c r="J129" s="2"/>
      <c r="K129" s="189"/>
      <c r="L129" s="2"/>
      <c r="M129" s="2"/>
      <c r="S129" s="523"/>
      <c r="T129" s="523"/>
      <c r="U129" s="523"/>
      <c r="V129" s="523"/>
      <c r="Y129" s="524"/>
    </row>
    <row r="130" spans="1:25" x14ac:dyDescent="0.3">
      <c r="A130" s="36" t="s">
        <v>466</v>
      </c>
      <c r="B130" s="37"/>
      <c r="C130" s="497"/>
      <c r="D130" s="319">
        <v>0</v>
      </c>
      <c r="E130" s="319">
        <v>0</v>
      </c>
      <c r="F130" s="319">
        <v>0</v>
      </c>
      <c r="G130" s="319">
        <v>0</v>
      </c>
      <c r="H130" s="520">
        <f t="shared" si="32"/>
        <v>0</v>
      </c>
      <c r="I130" s="39">
        <f t="shared" si="33"/>
        <v>0</v>
      </c>
      <c r="J130" s="2"/>
      <c r="K130" s="189"/>
      <c r="L130" s="2"/>
      <c r="M130" s="2"/>
      <c r="S130" s="523"/>
      <c r="T130" s="523"/>
      <c r="U130" s="523"/>
      <c r="V130" s="523"/>
      <c r="Y130" s="524"/>
    </row>
    <row r="131" spans="1:25" x14ac:dyDescent="0.3">
      <c r="A131" s="115" t="s">
        <v>447</v>
      </c>
      <c r="B131" s="53"/>
      <c r="C131" s="474"/>
      <c r="D131" s="223">
        <f>SUM(D132:D135)</f>
        <v>0</v>
      </c>
      <c r="E131" s="223">
        <f t="shared" ref="E131:G131" si="39">SUM(E132:E135)</f>
        <v>0</v>
      </c>
      <c r="F131" s="223">
        <f t="shared" si="39"/>
        <v>0</v>
      </c>
      <c r="G131" s="223">
        <f t="shared" si="39"/>
        <v>0</v>
      </c>
      <c r="H131" s="300">
        <f t="shared" si="32"/>
        <v>0</v>
      </c>
      <c r="I131" s="300">
        <f t="shared" si="33"/>
        <v>0</v>
      </c>
      <c r="J131" s="2"/>
      <c r="K131" s="197"/>
      <c r="L131" s="2"/>
      <c r="M131" s="2"/>
      <c r="S131" s="523"/>
      <c r="T131" s="523"/>
      <c r="U131" s="523"/>
      <c r="V131" s="523"/>
      <c r="Y131" s="524"/>
    </row>
    <row r="132" spans="1:25" x14ac:dyDescent="0.3">
      <c r="A132" s="36" t="s">
        <v>463</v>
      </c>
      <c r="B132" s="37"/>
      <c r="C132" s="497"/>
      <c r="D132" s="319">
        <v>0</v>
      </c>
      <c r="E132" s="319">
        <v>0</v>
      </c>
      <c r="F132" s="319">
        <v>0</v>
      </c>
      <c r="G132" s="319">
        <v>0</v>
      </c>
      <c r="H132" s="520">
        <f t="shared" si="32"/>
        <v>0</v>
      </c>
      <c r="I132" s="39">
        <f t="shared" si="33"/>
        <v>0</v>
      </c>
      <c r="J132" s="2"/>
      <c r="K132" s="189"/>
      <c r="L132" s="2"/>
      <c r="M132" s="2"/>
      <c r="S132" s="523"/>
      <c r="T132" s="523"/>
      <c r="U132" s="523"/>
      <c r="V132" s="523"/>
      <c r="Y132" s="524"/>
    </row>
    <row r="133" spans="1:25" x14ac:dyDescent="0.3">
      <c r="A133" s="36" t="s">
        <v>464</v>
      </c>
      <c r="B133" s="37"/>
      <c r="C133" s="497"/>
      <c r="D133" s="319">
        <v>0</v>
      </c>
      <c r="E133" s="319">
        <v>0</v>
      </c>
      <c r="F133" s="319">
        <v>0</v>
      </c>
      <c r="G133" s="319">
        <v>0</v>
      </c>
      <c r="H133" s="520">
        <f t="shared" si="32"/>
        <v>0</v>
      </c>
      <c r="I133" s="39">
        <f t="shared" si="33"/>
        <v>0</v>
      </c>
      <c r="J133" s="2"/>
      <c r="K133" s="189"/>
      <c r="L133" s="2"/>
      <c r="M133" s="2"/>
      <c r="S133" s="523"/>
      <c r="T133" s="523"/>
      <c r="U133" s="523"/>
      <c r="V133" s="523"/>
      <c r="Y133" s="524"/>
    </row>
    <row r="134" spans="1:25" x14ac:dyDescent="0.3">
      <c r="A134" s="36" t="s">
        <v>465</v>
      </c>
      <c r="B134" s="37"/>
      <c r="C134" s="497"/>
      <c r="D134" s="319">
        <v>0</v>
      </c>
      <c r="E134" s="319">
        <v>0</v>
      </c>
      <c r="F134" s="319">
        <v>0</v>
      </c>
      <c r="G134" s="319">
        <v>0</v>
      </c>
      <c r="H134" s="520">
        <f t="shared" si="32"/>
        <v>0</v>
      </c>
      <c r="I134" s="39">
        <f t="shared" si="33"/>
        <v>0</v>
      </c>
      <c r="J134" s="2"/>
      <c r="K134" s="189"/>
      <c r="L134" s="2"/>
      <c r="M134" s="2"/>
      <c r="S134" s="523"/>
      <c r="T134" s="523"/>
      <c r="U134" s="523"/>
      <c r="V134" s="523"/>
      <c r="Y134" s="524"/>
    </row>
    <row r="135" spans="1:25" x14ac:dyDescent="0.3">
      <c r="A135" s="36" t="s">
        <v>466</v>
      </c>
      <c r="B135" s="37"/>
      <c r="C135" s="496"/>
      <c r="D135" s="322">
        <v>0</v>
      </c>
      <c r="E135" s="322">
        <v>0</v>
      </c>
      <c r="F135" s="322">
        <v>0</v>
      </c>
      <c r="G135" s="322">
        <v>0</v>
      </c>
      <c r="H135" s="520">
        <f t="shared" si="32"/>
        <v>0</v>
      </c>
      <c r="I135" s="39">
        <f t="shared" si="33"/>
        <v>0</v>
      </c>
      <c r="J135" s="2"/>
      <c r="K135" s="189"/>
      <c r="L135" s="2"/>
      <c r="M135" s="2"/>
      <c r="S135" s="523"/>
      <c r="T135" s="523"/>
      <c r="U135" s="523"/>
      <c r="V135" s="523"/>
      <c r="Y135" s="524"/>
    </row>
    <row r="136" spans="1:25" x14ac:dyDescent="0.3">
      <c r="A136" s="18" t="s">
        <v>332</v>
      </c>
      <c r="B136" s="34"/>
      <c r="C136" s="476"/>
      <c r="D136" s="19">
        <f t="shared" ref="D136:G136" si="40">D106+D111+D116+D121+D126+D131</f>
        <v>188.27123287671236</v>
      </c>
      <c r="E136" s="19">
        <f t="shared" si="40"/>
        <v>186.44383561643838</v>
      </c>
      <c r="F136" s="19">
        <f t="shared" ref="F136" si="41">F106+F111+F116+F121+F126+F131</f>
        <v>186.01639344262298</v>
      </c>
      <c r="G136" s="19">
        <f t="shared" si="40"/>
        <v>186.0219178082192</v>
      </c>
      <c r="H136" s="20">
        <f t="shared" si="32"/>
        <v>186.68834493599823</v>
      </c>
      <c r="I136" s="35">
        <f t="shared" si="33"/>
        <v>746.75337974399292</v>
      </c>
      <c r="J136" s="2"/>
      <c r="K136" s="197"/>
      <c r="L136" s="2"/>
      <c r="M136" s="2"/>
      <c r="S136" s="523"/>
      <c r="T136" s="523"/>
      <c r="U136" s="523"/>
      <c r="V136" s="523"/>
      <c r="Y136" s="524"/>
    </row>
    <row r="137" spans="1:25" x14ac:dyDescent="0.3">
      <c r="C137" s="244"/>
      <c r="D137" s="164"/>
      <c r="E137" s="164"/>
      <c r="F137" s="164"/>
      <c r="G137" s="164"/>
      <c r="H137" s="2"/>
      <c r="I137" s="2"/>
      <c r="J137" s="2"/>
      <c r="K137" s="2"/>
      <c r="L137" s="2"/>
      <c r="M137" s="2"/>
      <c r="S137" s="523"/>
      <c r="T137" s="523"/>
      <c r="U137" s="523"/>
      <c r="V137" s="523"/>
      <c r="Y137" s="524"/>
    </row>
    <row r="138" spans="1:25" x14ac:dyDescent="0.3">
      <c r="C138" s="244"/>
      <c r="D138" s="164"/>
      <c r="E138" s="164"/>
      <c r="F138" s="164"/>
      <c r="G138" s="164"/>
      <c r="H138" s="2"/>
      <c r="I138" s="2"/>
      <c r="J138" s="2"/>
      <c r="K138" s="2"/>
      <c r="L138" s="2"/>
      <c r="M138" s="2"/>
      <c r="S138" s="523"/>
      <c r="T138" s="523"/>
      <c r="U138" s="523"/>
      <c r="V138" s="523"/>
      <c r="Y138" s="524"/>
    </row>
    <row r="139" spans="1:25" x14ac:dyDescent="0.3">
      <c r="A139" s="42" t="s">
        <v>217</v>
      </c>
      <c r="B139" s="43"/>
      <c r="C139" s="44"/>
      <c r="D139" s="44"/>
      <c r="E139" s="44"/>
      <c r="F139" s="44"/>
      <c r="G139" s="44"/>
      <c r="H139" s="44"/>
      <c r="I139" s="44"/>
      <c r="J139" s="44"/>
      <c r="K139" s="44"/>
      <c r="L139" s="164"/>
      <c r="M139" s="2"/>
      <c r="S139" s="523"/>
      <c r="T139" s="523"/>
      <c r="U139" s="523"/>
      <c r="V139" s="523"/>
      <c r="Y139" s="524"/>
    </row>
    <row r="140" spans="1:25" x14ac:dyDescent="0.3">
      <c r="C140" s="244"/>
      <c r="D140" s="164"/>
      <c r="E140" s="164"/>
      <c r="F140" s="164"/>
      <c r="G140" s="164"/>
      <c r="H140" s="2"/>
      <c r="I140" s="2"/>
      <c r="J140" s="2"/>
      <c r="K140" s="2"/>
      <c r="L140" s="2"/>
      <c r="M140" s="2"/>
      <c r="S140" s="523"/>
      <c r="T140" s="523"/>
      <c r="U140" s="523"/>
      <c r="V140" s="523"/>
      <c r="Y140" s="524"/>
    </row>
    <row r="141" spans="1:25" ht="27.65" customHeight="1" x14ac:dyDescent="0.3">
      <c r="A141" s="655" t="s">
        <v>335</v>
      </c>
      <c r="B141" s="655" t="s">
        <v>336</v>
      </c>
      <c r="C141" s="3" t="str">
        <f>Annee0</f>
        <v>Année 0</v>
      </c>
      <c r="D141" s="3" t="str">
        <f>Annee1</f>
        <v>Année 1</v>
      </c>
      <c r="E141" s="3" t="str">
        <f>Annee2</f>
        <v>Année 2</v>
      </c>
      <c r="F141" s="3" t="str">
        <f>Annee3</f>
        <v>Année 3</v>
      </c>
      <c r="G141" s="3" t="str">
        <f>Annee4</f>
        <v>Année 4</v>
      </c>
      <c r="H141" s="514" t="s">
        <v>256</v>
      </c>
      <c r="I141" s="4" t="s">
        <v>59</v>
      </c>
      <c r="J141" s="2"/>
      <c r="K141" s="661" t="s">
        <v>290</v>
      </c>
      <c r="L141" s="2"/>
      <c r="M141" s="2"/>
      <c r="S141" s="523"/>
      <c r="T141" s="523"/>
      <c r="U141" s="523"/>
      <c r="V141" s="523"/>
      <c r="Y141" s="524"/>
    </row>
    <row r="142" spans="1:25" ht="14.5" customHeight="1" x14ac:dyDescent="0.3">
      <c r="A142" s="656"/>
      <c r="B142" s="656"/>
      <c r="C142" s="77">
        <v>12</v>
      </c>
      <c r="D142" s="77">
        <v>12</v>
      </c>
      <c r="E142" s="77">
        <v>12</v>
      </c>
      <c r="F142" s="77">
        <v>12</v>
      </c>
      <c r="G142" s="77">
        <v>12</v>
      </c>
      <c r="H142" s="78">
        <f t="shared" ref="H142:H173" si="42">IFERROR(AVERAGE(C142:G142),0)</f>
        <v>12</v>
      </c>
      <c r="I142" s="78">
        <f t="shared" ref="I142:I173" si="43">SUM(C142:G142)</f>
        <v>60</v>
      </c>
      <c r="J142" s="2"/>
      <c r="K142" s="674"/>
      <c r="L142" s="2"/>
      <c r="M142" s="2"/>
      <c r="S142" s="523"/>
      <c r="T142" s="523"/>
      <c r="U142" s="523"/>
      <c r="V142" s="523"/>
      <c r="Y142" s="524"/>
    </row>
    <row r="143" spans="1:25" x14ac:dyDescent="0.3">
      <c r="A143" s="115" t="s">
        <v>313</v>
      </c>
      <c r="B143" s="53"/>
      <c r="C143" s="474"/>
      <c r="D143" s="223">
        <f t="shared" ref="D143:G143" si="44">D144+D149+D154+D159+D164+D169</f>
        <v>3472772.065445581</v>
      </c>
      <c r="E143" s="223">
        <f t="shared" si="44"/>
        <v>3386411.4659952708</v>
      </c>
      <c r="F143" s="223">
        <f t="shared" ref="F143" si="45">F144+F149+F154+F159+F164+F169</f>
        <v>3345409.9325257619</v>
      </c>
      <c r="G143" s="223">
        <f t="shared" si="44"/>
        <v>3288807.5298424107</v>
      </c>
      <c r="H143" s="300">
        <f t="shared" si="42"/>
        <v>3373350.248452256</v>
      </c>
      <c r="I143" s="300">
        <f t="shared" si="43"/>
        <v>13493400.993809024</v>
      </c>
      <c r="J143" s="2"/>
      <c r="K143" s="462" t="s">
        <v>293</v>
      </c>
      <c r="L143" s="2"/>
      <c r="M143" s="2"/>
      <c r="S143" s="523"/>
      <c r="T143" s="523"/>
      <c r="U143" s="523"/>
      <c r="V143" s="523"/>
      <c r="Y143" s="524"/>
    </row>
    <row r="144" spans="1:25" x14ac:dyDescent="0.3">
      <c r="A144" s="116" t="s">
        <v>258</v>
      </c>
      <c r="B144" s="310">
        <f>IFERROR(I144/(I$10+I$41+I$72),"-")</f>
        <v>0.33104643817683876</v>
      </c>
      <c r="C144" s="499"/>
      <c r="D144" s="297">
        <f>SUM(D145:D148)</f>
        <v>1957313.4879075943</v>
      </c>
      <c r="E144" s="297">
        <f>SUM(E145:E148)</f>
        <v>1906005.0103610144</v>
      </c>
      <c r="F144" s="297">
        <f t="shared" ref="F144:G144" si="46">SUM(F145:F148)</f>
        <v>1858314.5325720869</v>
      </c>
      <c r="G144" s="297">
        <f t="shared" si="46"/>
        <v>1807242.8159560543</v>
      </c>
      <c r="H144" s="62">
        <f t="shared" si="42"/>
        <v>1882218.9616991875</v>
      </c>
      <c r="I144" s="62">
        <f t="shared" si="43"/>
        <v>7528875.8467967501</v>
      </c>
      <c r="J144" s="2"/>
      <c r="K144" s="189"/>
      <c r="L144" s="2"/>
      <c r="M144" s="2"/>
      <c r="S144" s="523"/>
      <c r="T144" s="523"/>
      <c r="U144" s="523"/>
      <c r="V144" s="523"/>
      <c r="Y144" s="524"/>
    </row>
    <row r="145" spans="1:25" x14ac:dyDescent="0.3">
      <c r="A145" s="36" t="s">
        <v>463</v>
      </c>
      <c r="B145" s="37">
        <f>IFERROR(I145/(I$11+I$42+I$73),"-")</f>
        <v>0.40847400000000011</v>
      </c>
      <c r="C145" s="497"/>
      <c r="D145" s="320">
        <v>583808.68005059729</v>
      </c>
      <c r="E145" s="320">
        <v>435453.35990104283</v>
      </c>
      <c r="F145" s="320">
        <v>299013.16509301355</v>
      </c>
      <c r="G145" s="320">
        <v>160324.92083416058</v>
      </c>
      <c r="H145" s="520">
        <f t="shared" si="42"/>
        <v>369650.03146970359</v>
      </c>
      <c r="I145" s="39">
        <f t="shared" si="43"/>
        <v>1478600.1258788144</v>
      </c>
      <c r="J145" s="2"/>
      <c r="K145" s="188"/>
      <c r="L145" s="2"/>
      <c r="M145" s="2"/>
      <c r="S145" s="523"/>
      <c r="T145" s="523"/>
      <c r="U145" s="523"/>
      <c r="V145" s="523"/>
      <c r="Y145" s="524"/>
    </row>
    <row r="146" spans="1:25" ht="13.15" customHeight="1" x14ac:dyDescent="0.3">
      <c r="A146" s="36" t="s">
        <v>464</v>
      </c>
      <c r="B146" s="37">
        <f>IFERROR(I146/(I$12+I$43+I$74),"-")</f>
        <v>0.358962</v>
      </c>
      <c r="C146" s="497"/>
      <c r="D146" s="319">
        <v>586179.43742048217</v>
      </c>
      <c r="E146" s="319">
        <v>595080.62643724517</v>
      </c>
      <c r="F146" s="319">
        <v>601434.12989731005</v>
      </c>
      <c r="G146" s="319">
        <v>598431.95992284617</v>
      </c>
      <c r="H146" s="520">
        <f t="shared" si="42"/>
        <v>595281.53841947089</v>
      </c>
      <c r="I146" s="39">
        <f t="shared" si="43"/>
        <v>2381126.1536778836</v>
      </c>
      <c r="J146" s="2"/>
      <c r="K146" s="189"/>
      <c r="L146" s="2"/>
      <c r="M146" s="2"/>
      <c r="S146" s="523"/>
      <c r="T146" s="523"/>
      <c r="U146" s="523"/>
      <c r="V146" s="523"/>
      <c r="Y146" s="524"/>
    </row>
    <row r="147" spans="1:25" x14ac:dyDescent="0.3">
      <c r="A147" s="36" t="s">
        <v>465</v>
      </c>
      <c r="B147" s="37">
        <f>IFERROR(I147/(I$13+I$44+I$75),"-")</f>
        <v>0.53674999999999995</v>
      </c>
      <c r="C147" s="497"/>
      <c r="D147" s="319">
        <v>202002.73367689922</v>
      </c>
      <c r="E147" s="319">
        <v>202002.73367689922</v>
      </c>
      <c r="F147" s="319">
        <v>202002.73367689922</v>
      </c>
      <c r="G147" s="319">
        <v>202002.73367689922</v>
      </c>
      <c r="H147" s="520">
        <f t="shared" si="42"/>
        <v>202002.73367689922</v>
      </c>
      <c r="I147" s="39">
        <f t="shared" si="43"/>
        <v>808010.9347075969</v>
      </c>
      <c r="J147" s="2"/>
      <c r="K147" s="189"/>
      <c r="L147" s="2"/>
      <c r="M147" s="2"/>
      <c r="S147" s="523"/>
      <c r="T147" s="523"/>
      <c r="U147" s="523"/>
      <c r="V147" s="523"/>
      <c r="Y147" s="524"/>
    </row>
    <row r="148" spans="1:25" x14ac:dyDescent="0.3">
      <c r="A148" s="36" t="s">
        <v>466</v>
      </c>
      <c r="B148" s="37">
        <f>IFERROR(I148/(I$14+I$45+I$76),"-")</f>
        <v>0.26047999999999999</v>
      </c>
      <c r="C148" s="497"/>
      <c r="D148" s="319">
        <v>585322.63675961574</v>
      </c>
      <c r="E148" s="319">
        <v>673468.29034582723</v>
      </c>
      <c r="F148" s="319">
        <v>755864.50390486419</v>
      </c>
      <c r="G148" s="319">
        <v>846483.2015221481</v>
      </c>
      <c r="H148" s="520">
        <f t="shared" si="42"/>
        <v>715284.65813311387</v>
      </c>
      <c r="I148" s="39">
        <f t="shared" si="43"/>
        <v>2861138.6325324555</v>
      </c>
      <c r="J148" s="2"/>
      <c r="K148" s="189"/>
      <c r="L148" s="2"/>
      <c r="M148" s="2"/>
      <c r="S148" s="523"/>
      <c r="T148" s="523"/>
      <c r="U148" s="523"/>
      <c r="V148" s="523"/>
      <c r="Y148" s="524"/>
    </row>
    <row r="149" spans="1:25" x14ac:dyDescent="0.3">
      <c r="A149" s="116" t="s">
        <v>467</v>
      </c>
      <c r="B149" s="310">
        <f>IFERROR(I149/(I$15+I$46+I$77),"-")</f>
        <v>0.45798600000000012</v>
      </c>
      <c r="C149" s="499"/>
      <c r="D149" s="297">
        <f>SUM(D150:D153)</f>
        <v>1200872.0514948885</v>
      </c>
      <c r="E149" s="297">
        <f t="shared" ref="E149:G149" si="47">SUM(E150:E153)</f>
        <v>1200872.0514948885</v>
      </c>
      <c r="F149" s="297">
        <f t="shared" si="47"/>
        <v>1200872.0514948885</v>
      </c>
      <c r="G149" s="297">
        <f t="shared" si="47"/>
        <v>1200872.0514948885</v>
      </c>
      <c r="H149" s="62">
        <f t="shared" si="42"/>
        <v>1200872.0514948885</v>
      </c>
      <c r="I149" s="62">
        <f t="shared" si="43"/>
        <v>4803488.205979554</v>
      </c>
      <c r="J149" s="2"/>
      <c r="K149" s="197"/>
      <c r="L149" s="2"/>
      <c r="M149" s="2"/>
      <c r="S149" s="523"/>
      <c r="T149" s="523"/>
      <c r="U149" s="523"/>
      <c r="V149" s="523"/>
      <c r="Y149" s="524"/>
    </row>
    <row r="150" spans="1:25" x14ac:dyDescent="0.3">
      <c r="A150" s="36" t="s">
        <v>463</v>
      </c>
      <c r="B150" s="37" t="str">
        <f>IFERROR(I150/(I$16+I$47+I$78),"-")</f>
        <v>-</v>
      </c>
      <c r="C150" s="497"/>
      <c r="D150" s="319">
        <v>0</v>
      </c>
      <c r="E150" s="319">
        <v>0</v>
      </c>
      <c r="F150" s="319">
        <v>0</v>
      </c>
      <c r="G150" s="319">
        <v>0</v>
      </c>
      <c r="H150" s="520">
        <f t="shared" si="42"/>
        <v>0</v>
      </c>
      <c r="I150" s="39">
        <f t="shared" si="43"/>
        <v>0</v>
      </c>
      <c r="J150" s="2"/>
      <c r="K150" s="189"/>
      <c r="L150" s="2"/>
      <c r="M150" s="2"/>
      <c r="S150" s="523"/>
      <c r="T150" s="523"/>
      <c r="U150" s="523"/>
      <c r="V150" s="523"/>
      <c r="Y150" s="524"/>
    </row>
    <row r="151" spans="1:25" x14ac:dyDescent="0.3">
      <c r="A151" s="36" t="s">
        <v>464</v>
      </c>
      <c r="B151" s="37">
        <f>IFERROR(I151/(I$17+I$48+I$79),"-")</f>
        <v>0.45798600000000012</v>
      </c>
      <c r="C151" s="497"/>
      <c r="D151" s="319">
        <v>1200872.0514948885</v>
      </c>
      <c r="E151" s="319">
        <v>1200872.0514948885</v>
      </c>
      <c r="F151" s="319">
        <v>1200872.0514948885</v>
      </c>
      <c r="G151" s="319">
        <v>1200872.0514948885</v>
      </c>
      <c r="H151" s="520">
        <f t="shared" si="42"/>
        <v>1200872.0514948885</v>
      </c>
      <c r="I151" s="39">
        <f t="shared" si="43"/>
        <v>4803488.205979554</v>
      </c>
      <c r="J151" s="2"/>
      <c r="K151" s="189"/>
      <c r="L151" s="2"/>
      <c r="M151" s="2"/>
      <c r="S151" s="523"/>
      <c r="T151" s="523"/>
      <c r="U151" s="523"/>
      <c r="V151" s="523"/>
      <c r="Y151" s="524"/>
    </row>
    <row r="152" spans="1:25" x14ac:dyDescent="0.3">
      <c r="A152" s="36" t="s">
        <v>465</v>
      </c>
      <c r="B152" s="37" t="str">
        <f>IFERROR(I152/(I$18+I$49+I$80),"-")</f>
        <v>-</v>
      </c>
      <c r="C152" s="497"/>
      <c r="D152" s="319">
        <v>0</v>
      </c>
      <c r="E152" s="319">
        <v>0</v>
      </c>
      <c r="F152" s="319">
        <v>0</v>
      </c>
      <c r="G152" s="319">
        <v>0</v>
      </c>
      <c r="H152" s="520">
        <f t="shared" si="42"/>
        <v>0</v>
      </c>
      <c r="I152" s="39">
        <f t="shared" si="43"/>
        <v>0</v>
      </c>
      <c r="J152" s="2"/>
      <c r="K152" s="189"/>
      <c r="L152" s="2"/>
      <c r="M152" s="2"/>
      <c r="S152" s="523"/>
      <c r="T152" s="523"/>
      <c r="U152" s="523"/>
      <c r="V152" s="523"/>
      <c r="Y152" s="524"/>
    </row>
    <row r="153" spans="1:25" x14ac:dyDescent="0.3">
      <c r="A153" s="59" t="s">
        <v>466</v>
      </c>
      <c r="B153" s="79" t="str">
        <f>IFERROR(I153/(I$19+I$50+I$81),"-")</f>
        <v>-</v>
      </c>
      <c r="C153" s="495"/>
      <c r="D153" s="325">
        <v>0</v>
      </c>
      <c r="E153" s="325">
        <v>0</v>
      </c>
      <c r="F153" s="325">
        <v>0</v>
      </c>
      <c r="G153" s="325">
        <v>0</v>
      </c>
      <c r="H153" s="196">
        <f t="shared" si="42"/>
        <v>0</v>
      </c>
      <c r="I153" s="231">
        <f t="shared" si="43"/>
        <v>0</v>
      </c>
      <c r="J153" s="2"/>
      <c r="K153" s="204"/>
      <c r="L153" s="2"/>
      <c r="M153" s="2"/>
      <c r="S153" s="523"/>
      <c r="T153" s="523"/>
      <c r="U153" s="523"/>
      <c r="V153" s="523"/>
      <c r="Y153" s="524"/>
    </row>
    <row r="154" spans="1:25" x14ac:dyDescent="0.3">
      <c r="A154" s="116" t="s">
        <v>468</v>
      </c>
      <c r="B154" s="310" t="str">
        <f>IFERROR(I154/(I$20+I$51+I$82),"-")</f>
        <v>-</v>
      </c>
      <c r="C154" s="499"/>
      <c r="D154" s="297">
        <f>SUM(D155:D158)</f>
        <v>0</v>
      </c>
      <c r="E154" s="297">
        <f t="shared" ref="E154:G154" si="48">SUM(E155:E158)</f>
        <v>0</v>
      </c>
      <c r="F154" s="297">
        <f t="shared" si="48"/>
        <v>0</v>
      </c>
      <c r="G154" s="297">
        <f t="shared" si="48"/>
        <v>0</v>
      </c>
      <c r="H154" s="62">
        <f t="shared" si="42"/>
        <v>0</v>
      </c>
      <c r="I154" s="62">
        <f t="shared" si="43"/>
        <v>0</v>
      </c>
      <c r="J154" s="2"/>
      <c r="K154" s="189"/>
      <c r="L154" s="2"/>
      <c r="M154" s="2"/>
      <c r="S154" s="523"/>
      <c r="T154" s="523"/>
      <c r="U154" s="523"/>
      <c r="V154" s="523"/>
      <c r="Y154" s="524"/>
    </row>
    <row r="155" spans="1:25" x14ac:dyDescent="0.3">
      <c r="A155" s="36" t="s">
        <v>463</v>
      </c>
      <c r="B155" s="37" t="str">
        <f>IFERROR(I155/(I$21+I$52+I$83),"-")</f>
        <v>-</v>
      </c>
      <c r="C155" s="497"/>
      <c r="D155" s="320">
        <v>0</v>
      </c>
      <c r="E155" s="320">
        <v>0</v>
      </c>
      <c r="F155" s="320">
        <v>0</v>
      </c>
      <c r="G155" s="320">
        <v>0</v>
      </c>
      <c r="H155" s="520">
        <f t="shared" si="42"/>
        <v>0</v>
      </c>
      <c r="I155" s="39">
        <f t="shared" si="43"/>
        <v>0</v>
      </c>
      <c r="J155" s="2"/>
      <c r="K155" s="188"/>
      <c r="L155" s="2"/>
      <c r="M155" s="2"/>
      <c r="S155" s="523"/>
      <c r="T155" s="523"/>
      <c r="U155" s="523"/>
      <c r="V155" s="523"/>
      <c r="Y155" s="524"/>
    </row>
    <row r="156" spans="1:25" ht="13.15" customHeight="1" x14ac:dyDescent="0.3">
      <c r="A156" s="36" t="s">
        <v>464</v>
      </c>
      <c r="B156" s="37" t="str">
        <f>IFERROR(I156/(I$22+I$53+I$84),"-")</f>
        <v>-</v>
      </c>
      <c r="C156" s="497"/>
      <c r="D156" s="319">
        <v>0</v>
      </c>
      <c r="E156" s="319">
        <v>0</v>
      </c>
      <c r="F156" s="319">
        <v>0</v>
      </c>
      <c r="G156" s="319">
        <v>0</v>
      </c>
      <c r="H156" s="520">
        <f t="shared" si="42"/>
        <v>0</v>
      </c>
      <c r="I156" s="39">
        <f t="shared" si="43"/>
        <v>0</v>
      </c>
      <c r="J156" s="2"/>
      <c r="K156" s="189"/>
      <c r="L156" s="2"/>
      <c r="M156" s="2"/>
      <c r="S156" s="523"/>
      <c r="T156" s="523"/>
      <c r="U156" s="523"/>
      <c r="V156" s="523"/>
      <c r="Y156" s="524"/>
    </row>
    <row r="157" spans="1:25" x14ac:dyDescent="0.3">
      <c r="A157" s="36" t="s">
        <v>465</v>
      </c>
      <c r="B157" s="37" t="str">
        <f>IFERROR(I157/(I$23+I$54+I$85),"-")</f>
        <v>-</v>
      </c>
      <c r="C157" s="497"/>
      <c r="D157" s="319">
        <v>0</v>
      </c>
      <c r="E157" s="319">
        <v>0</v>
      </c>
      <c r="F157" s="319">
        <v>0</v>
      </c>
      <c r="G157" s="319">
        <v>0</v>
      </c>
      <c r="H157" s="520">
        <f t="shared" si="42"/>
        <v>0</v>
      </c>
      <c r="I157" s="39">
        <f t="shared" si="43"/>
        <v>0</v>
      </c>
      <c r="J157" s="2"/>
      <c r="K157" s="189"/>
      <c r="L157" s="2"/>
      <c r="M157" s="2"/>
      <c r="S157" s="523"/>
      <c r="T157" s="523"/>
      <c r="U157" s="523"/>
      <c r="V157" s="523"/>
      <c r="Y157" s="524"/>
    </row>
    <row r="158" spans="1:25" x14ac:dyDescent="0.3">
      <c r="A158" s="36" t="s">
        <v>466</v>
      </c>
      <c r="B158" s="37" t="str">
        <f>IFERROR(I158/(I$24+I$55+I$86),"-")</f>
        <v>-</v>
      </c>
      <c r="C158" s="497"/>
      <c r="D158" s="319">
        <v>0</v>
      </c>
      <c r="E158" s="319">
        <v>0</v>
      </c>
      <c r="F158" s="319">
        <v>0</v>
      </c>
      <c r="G158" s="319">
        <v>0</v>
      </c>
      <c r="H158" s="520">
        <f t="shared" si="42"/>
        <v>0</v>
      </c>
      <c r="I158" s="39">
        <f t="shared" si="43"/>
        <v>0</v>
      </c>
      <c r="J158" s="2"/>
      <c r="K158" s="189"/>
      <c r="L158" s="2"/>
      <c r="M158" s="2"/>
      <c r="S158" s="523"/>
      <c r="T158" s="523"/>
      <c r="U158" s="523"/>
      <c r="V158" s="523"/>
      <c r="Y158" s="524"/>
    </row>
    <row r="159" spans="1:25" x14ac:dyDescent="0.3">
      <c r="A159" s="116" t="s">
        <v>257</v>
      </c>
      <c r="B159" s="310">
        <f>IFERROR(I159/(I$25+I$56+I$87),"-")</f>
        <v>0.15554909797665295</v>
      </c>
      <c r="C159" s="499"/>
      <c r="D159" s="297">
        <f>SUM(D160:D163)</f>
        <v>49537.04534812802</v>
      </c>
      <c r="E159" s="297">
        <f t="shared" ref="E159:G159" si="49">SUM(E160:E163)</f>
        <v>49537.04534812802</v>
      </c>
      <c r="F159" s="297">
        <f t="shared" si="49"/>
        <v>81023.750501390343</v>
      </c>
      <c r="G159" s="297">
        <f t="shared" si="49"/>
        <v>87170.442942741211</v>
      </c>
      <c r="H159" s="62">
        <f t="shared" si="42"/>
        <v>66817.071035096902</v>
      </c>
      <c r="I159" s="62">
        <f t="shared" si="43"/>
        <v>267268.28414038761</v>
      </c>
      <c r="J159" s="2"/>
      <c r="K159" s="197"/>
      <c r="L159" s="2"/>
      <c r="M159" s="2"/>
      <c r="S159" s="523"/>
      <c r="T159" s="523"/>
      <c r="U159" s="523"/>
      <c r="V159" s="523"/>
      <c r="Y159" s="524"/>
    </row>
    <row r="160" spans="1:25" x14ac:dyDescent="0.3">
      <c r="A160" s="36" t="s">
        <v>463</v>
      </c>
      <c r="B160" s="37">
        <f>IFERROR(I160/(I$26+I$57+I$88),"-")</f>
        <v>0.14853600000000003</v>
      </c>
      <c r="C160" s="497"/>
      <c r="D160" s="319">
        <v>49537.04534812802</v>
      </c>
      <c r="E160" s="319">
        <v>49537.04534812802</v>
      </c>
      <c r="F160" s="319">
        <v>49537.04534812802</v>
      </c>
      <c r="G160" s="319">
        <v>49537.04534812802</v>
      </c>
      <c r="H160" s="520">
        <f t="shared" si="42"/>
        <v>49537.04534812802</v>
      </c>
      <c r="I160" s="39">
        <f t="shared" si="43"/>
        <v>198148.18139251208</v>
      </c>
      <c r="J160" s="2"/>
      <c r="K160" s="189"/>
      <c r="L160" s="2"/>
      <c r="M160" s="2"/>
      <c r="S160" s="523"/>
      <c r="T160" s="523"/>
      <c r="U160" s="523"/>
      <c r="V160" s="523"/>
      <c r="Y160" s="524"/>
    </row>
    <row r="161" spans="1:25" x14ac:dyDescent="0.3">
      <c r="A161" s="36" t="s">
        <v>464</v>
      </c>
      <c r="B161" s="37" t="str">
        <f>IFERROR(I161/(I$27+I$58+I$89),"-")</f>
        <v>-</v>
      </c>
      <c r="C161" s="497"/>
      <c r="D161" s="319">
        <v>0</v>
      </c>
      <c r="E161" s="319">
        <v>0</v>
      </c>
      <c r="F161" s="319">
        <v>0</v>
      </c>
      <c r="G161" s="319">
        <v>0</v>
      </c>
      <c r="H161" s="520">
        <f t="shared" si="42"/>
        <v>0</v>
      </c>
      <c r="I161" s="39">
        <f t="shared" si="43"/>
        <v>0</v>
      </c>
      <c r="J161" s="2"/>
      <c r="K161" s="189"/>
      <c r="L161" s="2"/>
      <c r="M161" s="2"/>
      <c r="S161" s="523"/>
      <c r="T161" s="523"/>
      <c r="U161" s="523"/>
      <c r="V161" s="523"/>
      <c r="Y161" s="524"/>
    </row>
    <row r="162" spans="1:25" x14ac:dyDescent="0.3">
      <c r="A162" s="36" t="s">
        <v>465</v>
      </c>
      <c r="B162" s="37" t="str">
        <f>IFERROR(I162/(I$28+I$59+I$90),"-")</f>
        <v>-</v>
      </c>
      <c r="C162" s="497"/>
      <c r="D162" s="319">
        <v>0</v>
      </c>
      <c r="E162" s="319">
        <v>0</v>
      </c>
      <c r="F162" s="319">
        <v>0</v>
      </c>
      <c r="G162" s="319">
        <v>0</v>
      </c>
      <c r="H162" s="520">
        <f t="shared" si="42"/>
        <v>0</v>
      </c>
      <c r="I162" s="39">
        <f t="shared" si="43"/>
        <v>0</v>
      </c>
      <c r="J162" s="2"/>
      <c r="K162" s="189"/>
      <c r="L162" s="2"/>
      <c r="M162" s="2"/>
      <c r="S162" s="523"/>
      <c r="T162" s="523"/>
      <c r="U162" s="523"/>
      <c r="V162" s="523"/>
      <c r="Y162" s="524"/>
    </row>
    <row r="163" spans="1:25" x14ac:dyDescent="0.3">
      <c r="A163" s="59" t="s">
        <v>466</v>
      </c>
      <c r="B163" s="79">
        <f>IFERROR(I163/(I$29+I$60+I$91),"-")</f>
        <v>0.17989870357738205</v>
      </c>
      <c r="C163" s="495"/>
      <c r="D163" s="325">
        <v>0</v>
      </c>
      <c r="E163" s="325">
        <v>0</v>
      </c>
      <c r="F163" s="325">
        <v>31486.705153262319</v>
      </c>
      <c r="G163" s="325">
        <v>37633.397594613198</v>
      </c>
      <c r="H163" s="196">
        <f t="shared" si="42"/>
        <v>17280.025686968878</v>
      </c>
      <c r="I163" s="231">
        <f t="shared" si="43"/>
        <v>69120.102747875513</v>
      </c>
      <c r="J163" s="2"/>
      <c r="K163" s="204"/>
      <c r="L163" s="2"/>
      <c r="M163" s="2"/>
      <c r="S163" s="523"/>
      <c r="T163" s="523"/>
      <c r="U163" s="523"/>
      <c r="V163" s="523"/>
      <c r="Y163" s="524"/>
    </row>
    <row r="164" spans="1:25" x14ac:dyDescent="0.3">
      <c r="A164" s="116" t="s">
        <v>259</v>
      </c>
      <c r="B164" s="310">
        <f>IFERROR(I164/(I$30+I$61+I$92),"-")</f>
        <v>0.37573127920630739</v>
      </c>
      <c r="C164" s="499"/>
      <c r="D164" s="297">
        <f>SUM(D165:D168)</f>
        <v>265049.48069497</v>
      </c>
      <c r="E164" s="297">
        <f t="shared" ref="E164:G164" si="50">SUM(E165:E168)</f>
        <v>229997.35879123991</v>
      </c>
      <c r="F164" s="297">
        <f t="shared" si="50"/>
        <v>205199.59795739609</v>
      </c>
      <c r="G164" s="297">
        <f t="shared" si="50"/>
        <v>193522.21944872674</v>
      </c>
      <c r="H164" s="62">
        <f t="shared" si="42"/>
        <v>223442.16422308318</v>
      </c>
      <c r="I164" s="62">
        <f t="shared" si="43"/>
        <v>893768.65689233271</v>
      </c>
      <c r="J164" s="2"/>
      <c r="K164" s="189"/>
      <c r="L164" s="2"/>
      <c r="M164" s="2"/>
      <c r="S164" s="523"/>
      <c r="T164" s="523"/>
      <c r="U164" s="523"/>
      <c r="V164" s="523"/>
      <c r="Y164" s="524"/>
    </row>
    <row r="165" spans="1:25" x14ac:dyDescent="0.3">
      <c r="A165" s="36" t="s">
        <v>463</v>
      </c>
      <c r="B165" s="37">
        <f>IFERROR(I165/(I$31+I$62+I$93),"-")</f>
        <v>0.43323000000000006</v>
      </c>
      <c r="C165" s="497"/>
      <c r="D165" s="320">
        <v>99749.804562623118</v>
      </c>
      <c r="E165" s="320">
        <v>64788.208220849396</v>
      </c>
      <c r="F165" s="320">
        <v>39899.921825049249</v>
      </c>
      <c r="G165" s="320">
        <v>28252.729524585189</v>
      </c>
      <c r="H165" s="520">
        <f t="shared" si="42"/>
        <v>58172.666033276735</v>
      </c>
      <c r="I165" s="39">
        <f t="shared" si="43"/>
        <v>232690.66413310694</v>
      </c>
      <c r="J165" s="2"/>
      <c r="K165" s="188"/>
      <c r="L165" s="2"/>
      <c r="M165" s="2"/>
      <c r="S165" s="523"/>
      <c r="T165" s="523"/>
      <c r="U165" s="523"/>
      <c r="V165" s="523"/>
      <c r="Y165" s="524"/>
    </row>
    <row r="166" spans="1:25" ht="13.15" customHeight="1" x14ac:dyDescent="0.3">
      <c r="A166" s="36" t="s">
        <v>464</v>
      </c>
      <c r="B166" s="37">
        <f>IFERROR(I166/(I$32+I$63+I$94),"-")</f>
        <v>0.35896200000000011</v>
      </c>
      <c r="C166" s="497"/>
      <c r="D166" s="319">
        <v>165299.67613234685</v>
      </c>
      <c r="E166" s="319">
        <v>165209.15057039051</v>
      </c>
      <c r="F166" s="319">
        <v>165299.67613234685</v>
      </c>
      <c r="G166" s="319">
        <v>165269.48992414156</v>
      </c>
      <c r="H166" s="520">
        <f t="shared" si="42"/>
        <v>165269.49818980644</v>
      </c>
      <c r="I166" s="39">
        <f t="shared" si="43"/>
        <v>661077.99275922577</v>
      </c>
      <c r="J166" s="2"/>
      <c r="K166" s="189"/>
      <c r="L166" s="2"/>
      <c r="M166" s="2"/>
      <c r="S166" s="523"/>
      <c r="T166" s="523"/>
      <c r="U166" s="523"/>
      <c r="V166" s="523"/>
      <c r="Y166" s="524"/>
    </row>
    <row r="167" spans="1:25" x14ac:dyDescent="0.3">
      <c r="A167" s="36" t="s">
        <v>465</v>
      </c>
      <c r="B167" s="37" t="str">
        <f>IFERROR(I167/(I$33+I$64+I$95),"-")</f>
        <v>-</v>
      </c>
      <c r="C167" s="497"/>
      <c r="D167" s="319">
        <v>0</v>
      </c>
      <c r="E167" s="319">
        <v>0</v>
      </c>
      <c r="F167" s="319">
        <v>0</v>
      </c>
      <c r="G167" s="319">
        <v>0</v>
      </c>
      <c r="H167" s="520">
        <f t="shared" si="42"/>
        <v>0</v>
      </c>
      <c r="I167" s="39">
        <f t="shared" si="43"/>
        <v>0</v>
      </c>
      <c r="J167" s="2"/>
      <c r="K167" s="189"/>
      <c r="L167" s="2"/>
      <c r="M167" s="2"/>
      <c r="S167" s="523"/>
      <c r="T167" s="523"/>
      <c r="U167" s="523"/>
      <c r="V167" s="523"/>
      <c r="Y167" s="524"/>
    </row>
    <row r="168" spans="1:25" x14ac:dyDescent="0.3">
      <c r="A168" s="36" t="s">
        <v>466</v>
      </c>
      <c r="B168" s="37" t="str">
        <f>IFERROR(I168/(I$34+I$65+I$96),"-")</f>
        <v>-</v>
      </c>
      <c r="C168" s="497"/>
      <c r="D168" s="319">
        <v>0</v>
      </c>
      <c r="E168" s="319">
        <v>0</v>
      </c>
      <c r="F168" s="319">
        <v>0</v>
      </c>
      <c r="G168" s="319">
        <v>0</v>
      </c>
      <c r="H168" s="520">
        <f t="shared" si="42"/>
        <v>0</v>
      </c>
      <c r="I168" s="39">
        <f t="shared" si="43"/>
        <v>0</v>
      </c>
      <c r="J168" s="2"/>
      <c r="K168" s="189"/>
      <c r="L168" s="2"/>
      <c r="M168" s="2"/>
      <c r="S168" s="523"/>
      <c r="T168" s="523"/>
      <c r="U168" s="523"/>
      <c r="V168" s="523"/>
      <c r="Y168" s="524"/>
    </row>
    <row r="169" spans="1:25" x14ac:dyDescent="0.3">
      <c r="A169" s="116" t="s">
        <v>447</v>
      </c>
      <c r="B169" s="310" t="str">
        <f>IFERROR(I169/(I$35+I$66+I$97),"-")</f>
        <v>-</v>
      </c>
      <c r="C169" s="499"/>
      <c r="D169" s="297">
        <f>SUM(D170:D173)</f>
        <v>0</v>
      </c>
      <c r="E169" s="297">
        <f t="shared" ref="E169:G169" si="51">SUM(E170:E173)</f>
        <v>0</v>
      </c>
      <c r="F169" s="297">
        <f t="shared" si="51"/>
        <v>0</v>
      </c>
      <c r="G169" s="297">
        <f t="shared" si="51"/>
        <v>0</v>
      </c>
      <c r="H169" s="62">
        <f t="shared" si="42"/>
        <v>0</v>
      </c>
      <c r="I169" s="62">
        <f t="shared" si="43"/>
        <v>0</v>
      </c>
      <c r="J169" s="2"/>
      <c r="K169" s="197"/>
      <c r="L169" s="2"/>
      <c r="M169" s="2"/>
      <c r="S169" s="523"/>
      <c r="T169" s="523"/>
      <c r="U169" s="523"/>
      <c r="V169" s="523"/>
      <c r="Y169" s="524"/>
    </row>
    <row r="170" spans="1:25" x14ac:dyDescent="0.3">
      <c r="A170" s="36" t="s">
        <v>463</v>
      </c>
      <c r="B170" s="37" t="str">
        <f>IFERROR(I170/(I$36+I$67+I$98),"-")</f>
        <v>-</v>
      </c>
      <c r="C170" s="497"/>
      <c r="D170" s="319">
        <v>0</v>
      </c>
      <c r="E170" s="319">
        <v>0</v>
      </c>
      <c r="F170" s="319">
        <v>0</v>
      </c>
      <c r="G170" s="319">
        <v>0</v>
      </c>
      <c r="H170" s="520">
        <f t="shared" si="42"/>
        <v>0</v>
      </c>
      <c r="I170" s="39">
        <f t="shared" si="43"/>
        <v>0</v>
      </c>
      <c r="J170" s="2"/>
      <c r="K170" s="189"/>
      <c r="L170" s="2"/>
      <c r="M170" s="2"/>
      <c r="S170" s="523"/>
      <c r="T170" s="523"/>
      <c r="U170" s="523"/>
      <c r="V170" s="523"/>
      <c r="Y170" s="524"/>
    </row>
    <row r="171" spans="1:25" x14ac:dyDescent="0.3">
      <c r="A171" s="36" t="s">
        <v>464</v>
      </c>
      <c r="B171" s="37" t="str">
        <f>IFERROR(I171/(I$37+I$68+I$99),"-")</f>
        <v>-</v>
      </c>
      <c r="C171" s="497"/>
      <c r="D171" s="319">
        <v>0</v>
      </c>
      <c r="E171" s="319">
        <v>0</v>
      </c>
      <c r="F171" s="319">
        <v>0</v>
      </c>
      <c r="G171" s="319">
        <v>0</v>
      </c>
      <c r="H171" s="520">
        <f t="shared" si="42"/>
        <v>0</v>
      </c>
      <c r="I171" s="39">
        <f t="shared" si="43"/>
        <v>0</v>
      </c>
      <c r="J171" s="2"/>
      <c r="K171" s="189"/>
      <c r="L171" s="2"/>
      <c r="M171" s="2"/>
      <c r="S171" s="523"/>
      <c r="T171" s="523"/>
      <c r="U171" s="523"/>
      <c r="V171" s="523"/>
      <c r="Y171" s="524"/>
    </row>
    <row r="172" spans="1:25" x14ac:dyDescent="0.3">
      <c r="A172" s="36" t="s">
        <v>465</v>
      </c>
      <c r="B172" s="37" t="str">
        <f>IFERROR(I172/(I$38+I$69+I$100),"-")</f>
        <v>-</v>
      </c>
      <c r="C172" s="497"/>
      <c r="D172" s="319">
        <v>0</v>
      </c>
      <c r="E172" s="319">
        <v>0</v>
      </c>
      <c r="F172" s="319">
        <v>0</v>
      </c>
      <c r="G172" s="319">
        <v>0</v>
      </c>
      <c r="H172" s="520">
        <f t="shared" si="42"/>
        <v>0</v>
      </c>
      <c r="I172" s="39">
        <f t="shared" si="43"/>
        <v>0</v>
      </c>
      <c r="J172" s="2"/>
      <c r="K172" s="189"/>
      <c r="L172" s="2"/>
      <c r="M172" s="2"/>
      <c r="S172" s="523"/>
      <c r="T172" s="523"/>
      <c r="U172" s="523"/>
      <c r="V172" s="523"/>
      <c r="Y172" s="524"/>
    </row>
    <row r="173" spans="1:25" x14ac:dyDescent="0.3">
      <c r="A173" s="59" t="s">
        <v>466</v>
      </c>
      <c r="B173" s="79" t="str">
        <f>IFERROR(I173/(I$39+I$70+I$101),"-")</f>
        <v>-</v>
      </c>
      <c r="C173" s="495"/>
      <c r="D173" s="325">
        <v>0</v>
      </c>
      <c r="E173" s="325">
        <v>0</v>
      </c>
      <c r="F173" s="325">
        <v>0</v>
      </c>
      <c r="G173" s="325">
        <v>0</v>
      </c>
      <c r="H173" s="196">
        <f t="shared" si="42"/>
        <v>0</v>
      </c>
      <c r="I173" s="231">
        <f t="shared" si="43"/>
        <v>0</v>
      </c>
      <c r="J173" s="2"/>
      <c r="K173" s="204"/>
      <c r="L173" s="2"/>
      <c r="M173" s="2"/>
      <c r="S173" s="523"/>
      <c r="T173" s="523"/>
      <c r="U173" s="523"/>
      <c r="V173" s="523"/>
      <c r="Y173" s="524"/>
    </row>
    <row r="174" spans="1:25" x14ac:dyDescent="0.3">
      <c r="A174" s="115" t="s">
        <v>66</v>
      </c>
      <c r="B174" s="53"/>
      <c r="C174" s="474"/>
      <c r="D174" s="223">
        <f t="shared" ref="D174" si="52">D175+D180+D185+D190+D195+D200</f>
        <v>132423.26985769012</v>
      </c>
      <c r="E174" s="223">
        <f t="shared" ref="E174" si="53">E175+E180+E185+E190+E195+E200</f>
        <v>128611.57836103758</v>
      </c>
      <c r="F174" s="223">
        <f t="shared" ref="F174:G174" si="54">F175+F180+F185+F190+F195+F200</f>
        <v>125104.97135692491</v>
      </c>
      <c r="G174" s="223">
        <f t="shared" si="54"/>
        <v>121299.38964809905</v>
      </c>
      <c r="H174" s="300">
        <f t="shared" ref="H174:H205" si="55">IFERROR(AVERAGE(C174:G174),0)</f>
        <v>126859.80230593792</v>
      </c>
      <c r="I174" s="300">
        <f t="shared" ref="I174:I205" si="56">SUM(C174:G174)</f>
        <v>507439.20922375168</v>
      </c>
      <c r="J174" s="2"/>
      <c r="K174" s="462" t="s">
        <v>293</v>
      </c>
      <c r="L174" s="2"/>
      <c r="M174" s="2"/>
      <c r="S174" s="523"/>
      <c r="T174" s="523"/>
      <c r="U174" s="523"/>
      <c r="V174" s="523"/>
      <c r="Y174" s="524"/>
    </row>
    <row r="175" spans="1:25" x14ac:dyDescent="0.3">
      <c r="A175" s="116" t="s">
        <v>258</v>
      </c>
      <c r="B175" s="310">
        <f>IFERROR(I175/(I$10+I$41+I$72),"-")</f>
        <v>9.2349707044791802E-3</v>
      </c>
      <c r="C175" s="499"/>
      <c r="D175" s="297">
        <f>SUM(D176:D179)</f>
        <v>57724.026959854105</v>
      </c>
      <c r="E175" s="297">
        <f>SUM(E176:E179)</f>
        <v>54206.01613601284</v>
      </c>
      <c r="F175" s="297">
        <f t="shared" ref="F175:G175" si="57">SUM(F176:F179)</f>
        <v>50902.739118851328</v>
      </c>
      <c r="G175" s="297">
        <f t="shared" si="57"/>
        <v>47194.995959677319</v>
      </c>
      <c r="H175" s="62">
        <f t="shared" si="55"/>
        <v>52506.944543598904</v>
      </c>
      <c r="I175" s="62">
        <f t="shared" si="56"/>
        <v>210027.77817439561</v>
      </c>
      <c r="J175" s="2"/>
      <c r="K175" s="189"/>
      <c r="L175" s="2"/>
      <c r="M175" s="2"/>
      <c r="S175" s="523"/>
      <c r="T175" s="523"/>
      <c r="U175" s="523"/>
      <c r="V175" s="523"/>
      <c r="Y175" s="524"/>
    </row>
    <row r="176" spans="1:25" x14ac:dyDescent="0.3">
      <c r="A176" s="36" t="s">
        <v>463</v>
      </c>
      <c r="B176" s="37">
        <f>IFERROR(I176/(I$11+I$42+I$73),"-")</f>
        <v>1.4268128571428573E-2</v>
      </c>
      <c r="C176" s="497"/>
      <c r="D176" s="320">
        <v>20392.625498998535</v>
      </c>
      <c r="E176" s="320">
        <v>15210.526314841671</v>
      </c>
      <c r="F176" s="320">
        <v>10444.626302033703</v>
      </c>
      <c r="G176" s="320">
        <v>5600.2011968103479</v>
      </c>
      <c r="H176" s="520">
        <f t="shared" si="55"/>
        <v>12911.994828171064</v>
      </c>
      <c r="I176" s="39">
        <f t="shared" si="56"/>
        <v>51647.979312684256</v>
      </c>
      <c r="J176" s="2"/>
      <c r="K176" s="188"/>
      <c r="L176" s="2"/>
      <c r="M176" s="2"/>
      <c r="S176" s="523"/>
      <c r="T176" s="523"/>
      <c r="U176" s="523"/>
      <c r="V176" s="523"/>
      <c r="Y176" s="524"/>
    </row>
    <row r="177" spans="1:25" ht="13.15" customHeight="1" x14ac:dyDescent="0.3">
      <c r="A177" s="36" t="s">
        <v>464</v>
      </c>
      <c r="B177" s="37">
        <f>IFERROR(I177/(I$12+I$43+I$74),"-")</f>
        <v>1.6956847619047619E-2</v>
      </c>
      <c r="C177" s="497"/>
      <c r="D177" s="319">
        <v>27690.271944546148</v>
      </c>
      <c r="E177" s="319">
        <v>28110.751287166237</v>
      </c>
      <c r="F177" s="319">
        <v>28410.881635279438</v>
      </c>
      <c r="G177" s="319">
        <v>28269.063451785179</v>
      </c>
      <c r="H177" s="520">
        <f t="shared" si="55"/>
        <v>28120.242079694253</v>
      </c>
      <c r="I177" s="39">
        <f t="shared" si="56"/>
        <v>112480.96831877701</v>
      </c>
      <c r="J177" s="2"/>
      <c r="K177" s="189"/>
      <c r="L177" s="2"/>
      <c r="M177" s="2"/>
      <c r="S177" s="523"/>
      <c r="T177" s="523"/>
      <c r="U177" s="523"/>
      <c r="V177" s="523"/>
      <c r="Y177" s="524"/>
    </row>
    <row r="178" spans="1:25" x14ac:dyDescent="0.3">
      <c r="A178" s="36" t="s">
        <v>465</v>
      </c>
      <c r="B178" s="37">
        <f>IFERROR(I178/(I$13+I$44+I$75),"-")</f>
        <v>3.6750000000000003E-3</v>
      </c>
      <c r="C178" s="497"/>
      <c r="D178" s="319">
        <v>1383.0648276899949</v>
      </c>
      <c r="E178" s="319">
        <v>1383.0648276899949</v>
      </c>
      <c r="F178" s="319">
        <v>1383.0648276899949</v>
      </c>
      <c r="G178" s="319">
        <v>1383.0648276899949</v>
      </c>
      <c r="H178" s="520">
        <f t="shared" si="55"/>
        <v>1383.0648276899949</v>
      </c>
      <c r="I178" s="39">
        <f t="shared" si="56"/>
        <v>5532.2593107599796</v>
      </c>
      <c r="J178" s="2"/>
      <c r="K178" s="189"/>
      <c r="L178" s="2"/>
      <c r="M178" s="2"/>
      <c r="S178" s="523"/>
      <c r="T178" s="523"/>
      <c r="U178" s="523"/>
      <c r="V178" s="523"/>
      <c r="Y178" s="524"/>
    </row>
    <row r="179" spans="1:25" x14ac:dyDescent="0.3">
      <c r="A179" s="36" t="s">
        <v>466</v>
      </c>
      <c r="B179" s="37">
        <f>IFERROR(I179/(I$14+I$45+I$76),"-")</f>
        <v>3.6749999999999999E-3</v>
      </c>
      <c r="C179" s="497"/>
      <c r="D179" s="319">
        <v>8258.0646886194263</v>
      </c>
      <c r="E179" s="319">
        <v>9501.6737063149394</v>
      </c>
      <c r="F179" s="319">
        <v>10664.16635384819</v>
      </c>
      <c r="G179" s="319">
        <v>11942.666483391795</v>
      </c>
      <c r="H179" s="520">
        <f t="shared" si="55"/>
        <v>10091.642808043587</v>
      </c>
      <c r="I179" s="39">
        <f t="shared" si="56"/>
        <v>40366.571232174349</v>
      </c>
      <c r="J179" s="2"/>
      <c r="K179" s="189"/>
      <c r="L179" s="2"/>
      <c r="M179" s="2"/>
      <c r="S179" s="523"/>
      <c r="T179" s="523"/>
      <c r="U179" s="523"/>
      <c r="V179" s="523"/>
      <c r="Y179" s="524"/>
    </row>
    <row r="180" spans="1:25" x14ac:dyDescent="0.3">
      <c r="A180" s="116" t="s">
        <v>467</v>
      </c>
      <c r="B180" s="310">
        <f>IFERROR(I180/(I$15+I$46+I$77),"-")</f>
        <v>2.4658119047619047E-2</v>
      </c>
      <c r="C180" s="499"/>
      <c r="D180" s="297">
        <f>SUM(D181:D184)</f>
        <v>64655.351924992166</v>
      </c>
      <c r="E180" s="297">
        <f t="shared" ref="E180:G180" si="58">SUM(E181:E184)</f>
        <v>64655.351924992166</v>
      </c>
      <c r="F180" s="297">
        <f t="shared" si="58"/>
        <v>64655.351924992166</v>
      </c>
      <c r="G180" s="297">
        <f t="shared" si="58"/>
        <v>64655.351924992166</v>
      </c>
      <c r="H180" s="62">
        <f t="shared" si="55"/>
        <v>64655.351924992166</v>
      </c>
      <c r="I180" s="62">
        <f t="shared" si="56"/>
        <v>258621.40769996867</v>
      </c>
      <c r="J180" s="2"/>
      <c r="K180" s="197"/>
      <c r="L180" s="2"/>
      <c r="M180" s="2"/>
      <c r="S180" s="523"/>
      <c r="T180" s="523"/>
      <c r="U180" s="523"/>
      <c r="V180" s="523"/>
      <c r="Y180" s="524"/>
    </row>
    <row r="181" spans="1:25" x14ac:dyDescent="0.3">
      <c r="A181" s="36" t="s">
        <v>463</v>
      </c>
      <c r="B181" s="37" t="str">
        <f>IFERROR(I181/(I$16+I$47+I$78),"-")</f>
        <v>-</v>
      </c>
      <c r="C181" s="497"/>
      <c r="D181" s="319">
        <v>0</v>
      </c>
      <c r="E181" s="319">
        <v>0</v>
      </c>
      <c r="F181" s="319">
        <v>0</v>
      </c>
      <c r="G181" s="319">
        <v>0</v>
      </c>
      <c r="H181" s="520">
        <f t="shared" si="55"/>
        <v>0</v>
      </c>
      <c r="I181" s="39">
        <f t="shared" si="56"/>
        <v>0</v>
      </c>
      <c r="J181" s="2"/>
      <c r="K181" s="189"/>
      <c r="L181" s="2"/>
      <c r="M181" s="2"/>
      <c r="S181" s="523"/>
      <c r="T181" s="523"/>
      <c r="U181" s="523"/>
      <c r="V181" s="523"/>
      <c r="Y181" s="524"/>
    </row>
    <row r="182" spans="1:25" x14ac:dyDescent="0.3">
      <c r="A182" s="36" t="s">
        <v>464</v>
      </c>
      <c r="B182" s="37">
        <f>IFERROR(I182/(I$17+I$48+I$79),"-")</f>
        <v>2.4658119047619047E-2</v>
      </c>
      <c r="C182" s="497"/>
      <c r="D182" s="319">
        <v>64655.351924992166</v>
      </c>
      <c r="E182" s="319">
        <v>64655.351924992166</v>
      </c>
      <c r="F182" s="319">
        <v>64655.351924992166</v>
      </c>
      <c r="G182" s="319">
        <v>64655.351924992166</v>
      </c>
      <c r="H182" s="520">
        <f t="shared" si="55"/>
        <v>64655.351924992166</v>
      </c>
      <c r="I182" s="39">
        <f t="shared" si="56"/>
        <v>258621.40769996867</v>
      </c>
      <c r="J182" s="2"/>
      <c r="K182" s="189"/>
      <c r="L182" s="2"/>
      <c r="M182" s="2"/>
      <c r="S182" s="523"/>
      <c r="T182" s="523"/>
      <c r="U182" s="523"/>
      <c r="V182" s="523"/>
      <c r="Y182" s="524"/>
    </row>
    <row r="183" spans="1:25" x14ac:dyDescent="0.3">
      <c r="A183" s="36" t="s">
        <v>465</v>
      </c>
      <c r="B183" s="37" t="str">
        <f>IFERROR(I183/(I$18+I$49+I$80),"-")</f>
        <v>-</v>
      </c>
      <c r="C183" s="497"/>
      <c r="D183" s="319">
        <v>0</v>
      </c>
      <c r="E183" s="319">
        <v>0</v>
      </c>
      <c r="F183" s="319">
        <v>0</v>
      </c>
      <c r="G183" s="319">
        <v>0</v>
      </c>
      <c r="H183" s="520">
        <f t="shared" si="55"/>
        <v>0</v>
      </c>
      <c r="I183" s="39">
        <f t="shared" si="56"/>
        <v>0</v>
      </c>
      <c r="J183" s="2"/>
      <c r="K183" s="189"/>
      <c r="L183" s="2"/>
      <c r="M183" s="2"/>
      <c r="S183" s="523"/>
      <c r="T183" s="523"/>
      <c r="U183" s="523"/>
      <c r="V183" s="523"/>
      <c r="Y183" s="524"/>
    </row>
    <row r="184" spans="1:25" x14ac:dyDescent="0.3">
      <c r="A184" s="59" t="s">
        <v>466</v>
      </c>
      <c r="B184" s="79" t="str">
        <f>IFERROR(I184/(I$19+I$50+I$81),"-")</f>
        <v>-</v>
      </c>
      <c r="C184" s="495"/>
      <c r="D184" s="325">
        <v>0</v>
      </c>
      <c r="E184" s="325">
        <v>0</v>
      </c>
      <c r="F184" s="325">
        <v>0</v>
      </c>
      <c r="G184" s="325">
        <v>0</v>
      </c>
      <c r="H184" s="196">
        <f t="shared" si="55"/>
        <v>0</v>
      </c>
      <c r="I184" s="231">
        <f t="shared" si="56"/>
        <v>0</v>
      </c>
      <c r="J184" s="2"/>
      <c r="K184" s="204"/>
      <c r="L184" s="2"/>
      <c r="M184" s="2"/>
      <c r="S184" s="523"/>
      <c r="T184" s="523"/>
      <c r="U184" s="523"/>
      <c r="V184" s="523"/>
      <c r="Y184" s="524"/>
    </row>
    <row r="185" spans="1:25" x14ac:dyDescent="0.3">
      <c r="A185" s="116" t="s">
        <v>468</v>
      </c>
      <c r="B185" s="310" t="str">
        <f>IFERROR(I185/(I$20+I$51+I$82),"-")</f>
        <v>-</v>
      </c>
      <c r="C185" s="499"/>
      <c r="D185" s="297">
        <f>SUM(D186:D189)</f>
        <v>0</v>
      </c>
      <c r="E185" s="297">
        <f t="shared" ref="E185:G185" si="59">SUM(E186:E189)</f>
        <v>0</v>
      </c>
      <c r="F185" s="297">
        <f t="shared" si="59"/>
        <v>0</v>
      </c>
      <c r="G185" s="297">
        <f t="shared" si="59"/>
        <v>0</v>
      </c>
      <c r="H185" s="62">
        <f t="shared" si="55"/>
        <v>0</v>
      </c>
      <c r="I185" s="62">
        <f t="shared" si="56"/>
        <v>0</v>
      </c>
      <c r="J185" s="2"/>
      <c r="K185" s="189"/>
      <c r="L185" s="2"/>
      <c r="M185" s="2"/>
      <c r="S185" s="523"/>
      <c r="T185" s="523"/>
      <c r="U185" s="523"/>
      <c r="V185" s="523"/>
      <c r="Y185" s="524"/>
    </row>
    <row r="186" spans="1:25" x14ac:dyDescent="0.3">
      <c r="A186" s="36" t="s">
        <v>463</v>
      </c>
      <c r="B186" s="37" t="str">
        <f>IFERROR(I186/(I$21+I$52+I$83),"-")</f>
        <v>-</v>
      </c>
      <c r="C186" s="497"/>
      <c r="D186" s="320">
        <v>0</v>
      </c>
      <c r="E186" s="320">
        <v>0</v>
      </c>
      <c r="F186" s="320">
        <v>0</v>
      </c>
      <c r="G186" s="320">
        <v>0</v>
      </c>
      <c r="H186" s="520">
        <f t="shared" si="55"/>
        <v>0</v>
      </c>
      <c r="I186" s="39">
        <f t="shared" si="56"/>
        <v>0</v>
      </c>
      <c r="J186" s="2"/>
      <c r="K186" s="188"/>
      <c r="L186" s="2"/>
      <c r="M186" s="2"/>
      <c r="S186" s="523"/>
      <c r="T186" s="523"/>
      <c r="U186" s="523"/>
      <c r="V186" s="523"/>
      <c r="Y186" s="524"/>
    </row>
    <row r="187" spans="1:25" ht="13.15" customHeight="1" x14ac:dyDescent="0.3">
      <c r="A187" s="36" t="s">
        <v>464</v>
      </c>
      <c r="B187" s="37" t="str">
        <f>IFERROR(I187/(I$22+I$53+I$84),"-")</f>
        <v>-</v>
      </c>
      <c r="C187" s="497"/>
      <c r="D187" s="319">
        <v>0</v>
      </c>
      <c r="E187" s="319">
        <v>0</v>
      </c>
      <c r="F187" s="319">
        <v>0</v>
      </c>
      <c r="G187" s="319">
        <v>0</v>
      </c>
      <c r="H187" s="520">
        <f t="shared" si="55"/>
        <v>0</v>
      </c>
      <c r="I187" s="39">
        <f t="shared" si="56"/>
        <v>0</v>
      </c>
      <c r="J187" s="2"/>
      <c r="K187" s="189"/>
      <c r="L187" s="2"/>
      <c r="M187" s="2"/>
      <c r="S187" s="523"/>
      <c r="T187" s="523"/>
      <c r="U187" s="523"/>
      <c r="V187" s="523"/>
      <c r="Y187" s="524"/>
    </row>
    <row r="188" spans="1:25" x14ac:dyDescent="0.3">
      <c r="A188" s="36" t="s">
        <v>465</v>
      </c>
      <c r="B188" s="37" t="str">
        <f>IFERROR(I188/(I$23+I$54+I$85),"-")</f>
        <v>-</v>
      </c>
      <c r="C188" s="497"/>
      <c r="D188" s="319">
        <v>0</v>
      </c>
      <c r="E188" s="319">
        <v>0</v>
      </c>
      <c r="F188" s="319">
        <v>0</v>
      </c>
      <c r="G188" s="319">
        <v>0</v>
      </c>
      <c r="H188" s="520">
        <f t="shared" si="55"/>
        <v>0</v>
      </c>
      <c r="I188" s="39">
        <f t="shared" si="56"/>
        <v>0</v>
      </c>
      <c r="J188" s="2"/>
      <c r="K188" s="189"/>
      <c r="L188" s="2"/>
      <c r="M188" s="2"/>
      <c r="S188" s="523"/>
      <c r="T188" s="523"/>
      <c r="U188" s="523"/>
      <c r="V188" s="523"/>
      <c r="Y188" s="524"/>
    </row>
    <row r="189" spans="1:25" x14ac:dyDescent="0.3">
      <c r="A189" s="36" t="s">
        <v>466</v>
      </c>
      <c r="B189" s="37" t="str">
        <f>IFERROR(I189/(I$24+I$55+I$86),"-")</f>
        <v>-</v>
      </c>
      <c r="C189" s="497"/>
      <c r="D189" s="319">
        <v>0</v>
      </c>
      <c r="E189" s="319">
        <v>0</v>
      </c>
      <c r="F189" s="319">
        <v>0</v>
      </c>
      <c r="G189" s="319">
        <v>0</v>
      </c>
      <c r="H189" s="520">
        <f t="shared" si="55"/>
        <v>0</v>
      </c>
      <c r="I189" s="39">
        <f t="shared" si="56"/>
        <v>0</v>
      </c>
      <c r="J189" s="2"/>
      <c r="K189" s="189"/>
      <c r="L189" s="2"/>
      <c r="M189" s="2"/>
      <c r="S189" s="523"/>
      <c r="T189" s="523"/>
      <c r="U189" s="523"/>
      <c r="V189" s="523"/>
      <c r="Y189" s="524"/>
    </row>
    <row r="190" spans="1:25" x14ac:dyDescent="0.3">
      <c r="A190" s="116" t="s">
        <v>257</v>
      </c>
      <c r="B190" s="310">
        <f>IFERROR(I190/(I$25+I$56+I$87),"-")</f>
        <v>2.1274604146560299E-3</v>
      </c>
      <c r="C190" s="499"/>
      <c r="D190" s="297">
        <f>SUM(D191:D194)</f>
        <v>560.86451889222883</v>
      </c>
      <c r="E190" s="297">
        <f t="shared" ref="E190:G190" si="60">SUM(E191:E194)</f>
        <v>858.36325775843352</v>
      </c>
      <c r="F190" s="297">
        <f t="shared" si="60"/>
        <v>1068.5586283966122</v>
      </c>
      <c r="G190" s="297">
        <f t="shared" si="60"/>
        <v>1167.6683805989833</v>
      </c>
      <c r="H190" s="62">
        <f t="shared" si="55"/>
        <v>913.86369641156443</v>
      </c>
      <c r="I190" s="62">
        <f t="shared" si="56"/>
        <v>3655.4547856462577</v>
      </c>
      <c r="J190" s="2"/>
      <c r="K190" s="197"/>
      <c r="L190" s="2"/>
      <c r="M190" s="2"/>
      <c r="S190" s="523"/>
      <c r="T190" s="523"/>
      <c r="U190" s="523"/>
      <c r="V190" s="523"/>
      <c r="Y190" s="524"/>
    </row>
    <row r="191" spans="1:25" x14ac:dyDescent="0.3">
      <c r="A191" s="36" t="s">
        <v>463</v>
      </c>
      <c r="B191" s="37">
        <f>IFERROR(I191/(I$26+I$57+I$88),"-")</f>
        <v>1.6817428571428575E-3</v>
      </c>
      <c r="C191" s="497"/>
      <c r="D191" s="319">
        <v>560.86451889222883</v>
      </c>
      <c r="E191" s="319">
        <v>560.86451889222883</v>
      </c>
      <c r="F191" s="319">
        <v>560.86451889222883</v>
      </c>
      <c r="G191" s="319">
        <v>560.86451889222883</v>
      </c>
      <c r="H191" s="520">
        <f t="shared" si="55"/>
        <v>560.86451889222883</v>
      </c>
      <c r="I191" s="39">
        <f t="shared" si="56"/>
        <v>2243.4580755689153</v>
      </c>
      <c r="J191" s="2"/>
      <c r="K191" s="189"/>
      <c r="L191" s="2"/>
      <c r="M191" s="2"/>
      <c r="S191" s="523"/>
      <c r="T191" s="523"/>
      <c r="U191" s="523"/>
      <c r="V191" s="523"/>
      <c r="Y191" s="524"/>
    </row>
    <row r="192" spans="1:25" x14ac:dyDescent="0.3">
      <c r="A192" s="36" t="s">
        <v>464</v>
      </c>
      <c r="B192" s="37" t="str">
        <f>IFERROR(I192/(I$27+I$58+I$89),"-")</f>
        <v>-</v>
      </c>
      <c r="C192" s="497"/>
      <c r="D192" s="319">
        <v>0</v>
      </c>
      <c r="E192" s="319">
        <v>0</v>
      </c>
      <c r="F192" s="319">
        <v>0</v>
      </c>
      <c r="G192" s="319">
        <v>0</v>
      </c>
      <c r="H192" s="520">
        <f t="shared" si="55"/>
        <v>0</v>
      </c>
      <c r="I192" s="39">
        <f t="shared" si="56"/>
        <v>0</v>
      </c>
      <c r="J192" s="2"/>
      <c r="K192" s="189"/>
      <c r="L192" s="2"/>
      <c r="M192" s="2"/>
      <c r="S192" s="523"/>
      <c r="T192" s="523"/>
      <c r="U192" s="523"/>
      <c r="V192" s="523"/>
      <c r="Y192" s="524"/>
    </row>
    <row r="193" spans="1:25" x14ac:dyDescent="0.3">
      <c r="A193" s="36" t="s">
        <v>465</v>
      </c>
      <c r="B193" s="37" t="str">
        <f>IFERROR(I193/(I$28+I$59+I$90),"-")</f>
        <v>-</v>
      </c>
      <c r="C193" s="497"/>
      <c r="D193" s="319">
        <v>0</v>
      </c>
      <c r="E193" s="319">
        <v>0</v>
      </c>
      <c r="F193" s="319">
        <v>0</v>
      </c>
      <c r="G193" s="319">
        <v>0</v>
      </c>
      <c r="H193" s="520">
        <f t="shared" si="55"/>
        <v>0</v>
      </c>
      <c r="I193" s="39">
        <f t="shared" si="56"/>
        <v>0</v>
      </c>
      <c r="J193" s="2"/>
      <c r="K193" s="189"/>
      <c r="L193" s="2"/>
      <c r="M193" s="2"/>
      <c r="S193" s="523"/>
      <c r="T193" s="523"/>
      <c r="U193" s="523"/>
      <c r="V193" s="523"/>
      <c r="Y193" s="524"/>
    </row>
    <row r="194" spans="1:25" x14ac:dyDescent="0.3">
      <c r="A194" s="59" t="s">
        <v>466</v>
      </c>
      <c r="B194" s="79">
        <f>IFERROR(I194/(I$29+I$60+I$91),"-")</f>
        <v>3.6749999999999994E-3</v>
      </c>
      <c r="C194" s="495"/>
      <c r="D194" s="325">
        <v>0</v>
      </c>
      <c r="E194" s="325">
        <v>297.49873886620469</v>
      </c>
      <c r="F194" s="325">
        <v>507.69410950438328</v>
      </c>
      <c r="G194" s="325">
        <v>606.80386170675456</v>
      </c>
      <c r="H194" s="196">
        <f t="shared" si="55"/>
        <v>352.9991775193356</v>
      </c>
      <c r="I194" s="231">
        <f t="shared" si="56"/>
        <v>1411.9967100773424</v>
      </c>
      <c r="J194" s="2"/>
      <c r="K194" s="204"/>
      <c r="L194" s="2"/>
      <c r="M194" s="2"/>
      <c r="S194" s="523"/>
      <c r="T194" s="523"/>
      <c r="U194" s="523"/>
      <c r="V194" s="523"/>
      <c r="Y194" s="524"/>
    </row>
    <row r="195" spans="1:25" x14ac:dyDescent="0.3">
      <c r="A195" s="116" t="s">
        <v>259</v>
      </c>
      <c r="B195" s="310">
        <f>IFERROR(I195/(I$30+I$61+I$92),"-")</f>
        <v>1.4770216307111391E-2</v>
      </c>
      <c r="C195" s="499"/>
      <c r="D195" s="297">
        <f>SUM(D196:D199)</f>
        <v>9483.0264539516302</v>
      </c>
      <c r="E195" s="297">
        <f t="shared" ref="E195:G195" si="61">SUM(E196:E199)</f>
        <v>8891.8470422741339</v>
      </c>
      <c r="F195" s="297">
        <f t="shared" si="61"/>
        <v>8478.3216846848154</v>
      </c>
      <c r="G195" s="297">
        <f t="shared" si="61"/>
        <v>8281.3733828305722</v>
      </c>
      <c r="H195" s="62">
        <f t="shared" si="55"/>
        <v>8783.6421409352879</v>
      </c>
      <c r="I195" s="62">
        <f t="shared" si="56"/>
        <v>35134.568563741152</v>
      </c>
      <c r="J195" s="2"/>
      <c r="K195" s="189"/>
      <c r="L195" s="2"/>
      <c r="M195" s="2"/>
      <c r="S195" s="523"/>
      <c r="T195" s="523"/>
      <c r="U195" s="523"/>
      <c r="V195" s="523"/>
      <c r="Y195" s="524"/>
    </row>
    <row r="196" spans="1:25" x14ac:dyDescent="0.3">
      <c r="A196" s="36" t="s">
        <v>463</v>
      </c>
      <c r="B196" s="37">
        <f>IFERROR(I196/(I$31+I$62+I$93),"-")</f>
        <v>7.2726666666666669E-3</v>
      </c>
      <c r="C196" s="497"/>
      <c r="D196" s="320">
        <v>1674.5079487780245</v>
      </c>
      <c r="E196" s="320">
        <v>1087.6048342008419</v>
      </c>
      <c r="F196" s="320">
        <v>669.80317951120992</v>
      </c>
      <c r="G196" s="320">
        <v>474.28083063453556</v>
      </c>
      <c r="H196" s="520">
        <f t="shared" si="55"/>
        <v>976.54919828115305</v>
      </c>
      <c r="I196" s="39">
        <f t="shared" si="56"/>
        <v>3906.1967931246122</v>
      </c>
      <c r="J196" s="2"/>
      <c r="K196" s="188"/>
      <c r="L196" s="2"/>
      <c r="M196" s="2"/>
      <c r="S196" s="523"/>
      <c r="T196" s="523"/>
      <c r="U196" s="523"/>
      <c r="V196" s="523"/>
      <c r="Y196" s="524"/>
    </row>
    <row r="197" spans="1:25" ht="13.15" customHeight="1" x14ac:dyDescent="0.3">
      <c r="A197" s="36" t="s">
        <v>464</v>
      </c>
      <c r="B197" s="37">
        <f>IFERROR(I197/(I$32+I$63+I$94),"-")</f>
        <v>1.6956847619047619E-2</v>
      </c>
      <c r="C197" s="497"/>
      <c r="D197" s="319">
        <v>7808.5185051736053</v>
      </c>
      <c r="E197" s="319">
        <v>7804.2422080732922</v>
      </c>
      <c r="F197" s="319">
        <v>7808.5185051736053</v>
      </c>
      <c r="G197" s="319">
        <v>7807.0925521960371</v>
      </c>
      <c r="H197" s="520">
        <f t="shared" si="55"/>
        <v>7807.0929426541352</v>
      </c>
      <c r="I197" s="39">
        <f t="shared" si="56"/>
        <v>31228.371770616541</v>
      </c>
      <c r="J197" s="2"/>
      <c r="K197" s="189"/>
      <c r="L197" s="2"/>
      <c r="M197" s="2"/>
      <c r="S197" s="523"/>
      <c r="T197" s="523"/>
      <c r="U197" s="523"/>
      <c r="V197" s="523"/>
      <c r="Y197" s="524"/>
    </row>
    <row r="198" spans="1:25" x14ac:dyDescent="0.3">
      <c r="A198" s="36" t="s">
        <v>465</v>
      </c>
      <c r="B198" s="37" t="str">
        <f>IFERROR(I198/(I$33+I$64+I$95),"-")</f>
        <v>-</v>
      </c>
      <c r="C198" s="497"/>
      <c r="D198" s="319">
        <v>0</v>
      </c>
      <c r="E198" s="319">
        <v>0</v>
      </c>
      <c r="F198" s="319">
        <v>0</v>
      </c>
      <c r="G198" s="319">
        <v>0</v>
      </c>
      <c r="H198" s="520">
        <f t="shared" si="55"/>
        <v>0</v>
      </c>
      <c r="I198" s="39">
        <f t="shared" si="56"/>
        <v>0</v>
      </c>
      <c r="J198" s="2"/>
      <c r="K198" s="189"/>
      <c r="L198" s="2"/>
      <c r="M198" s="2"/>
      <c r="S198" s="523"/>
      <c r="T198" s="523"/>
      <c r="U198" s="523"/>
      <c r="V198" s="523"/>
      <c r="Y198" s="524"/>
    </row>
    <row r="199" spans="1:25" x14ac:dyDescent="0.3">
      <c r="A199" s="36" t="s">
        <v>466</v>
      </c>
      <c r="B199" s="37" t="str">
        <f>IFERROR(I199/(I$34+I$65+I$96),"-")</f>
        <v>-</v>
      </c>
      <c r="C199" s="497"/>
      <c r="D199" s="319">
        <v>0</v>
      </c>
      <c r="E199" s="319">
        <v>0</v>
      </c>
      <c r="F199" s="319">
        <v>0</v>
      </c>
      <c r="G199" s="319">
        <v>0</v>
      </c>
      <c r="H199" s="520">
        <f t="shared" si="55"/>
        <v>0</v>
      </c>
      <c r="I199" s="39">
        <f t="shared" si="56"/>
        <v>0</v>
      </c>
      <c r="J199" s="2"/>
      <c r="K199" s="189"/>
      <c r="L199" s="2"/>
      <c r="M199" s="2"/>
      <c r="S199" s="523"/>
      <c r="T199" s="523"/>
      <c r="U199" s="523"/>
      <c r="V199" s="523"/>
      <c r="Y199" s="524"/>
    </row>
    <row r="200" spans="1:25" x14ac:dyDescent="0.3">
      <c r="A200" s="116" t="s">
        <v>447</v>
      </c>
      <c r="B200" s="310" t="str">
        <f>IFERROR(I200/(I$35+I$66+I$97),"-")</f>
        <v>-</v>
      </c>
      <c r="C200" s="499"/>
      <c r="D200" s="297">
        <f>SUM(D201:D204)</f>
        <v>0</v>
      </c>
      <c r="E200" s="297">
        <f t="shared" ref="E200:G200" si="62">SUM(E201:E204)</f>
        <v>0</v>
      </c>
      <c r="F200" s="297">
        <f t="shared" si="62"/>
        <v>0</v>
      </c>
      <c r="G200" s="297">
        <f t="shared" si="62"/>
        <v>0</v>
      </c>
      <c r="H200" s="62">
        <f t="shared" si="55"/>
        <v>0</v>
      </c>
      <c r="I200" s="62">
        <f t="shared" si="56"/>
        <v>0</v>
      </c>
      <c r="J200" s="2"/>
      <c r="K200" s="197"/>
      <c r="L200" s="2"/>
      <c r="M200" s="2"/>
      <c r="S200" s="523"/>
      <c r="T200" s="523"/>
      <c r="U200" s="523"/>
      <c r="V200" s="523"/>
      <c r="Y200" s="524"/>
    </row>
    <row r="201" spans="1:25" x14ac:dyDescent="0.3">
      <c r="A201" s="36" t="s">
        <v>463</v>
      </c>
      <c r="B201" s="37" t="str">
        <f>IFERROR(I201/(I$36+I$67+I$98),"-")</f>
        <v>-</v>
      </c>
      <c r="C201" s="497"/>
      <c r="D201" s="319">
        <v>0</v>
      </c>
      <c r="E201" s="319">
        <v>0</v>
      </c>
      <c r="F201" s="319">
        <v>0</v>
      </c>
      <c r="G201" s="319">
        <v>0</v>
      </c>
      <c r="H201" s="520">
        <f t="shared" si="55"/>
        <v>0</v>
      </c>
      <c r="I201" s="39">
        <f t="shared" si="56"/>
        <v>0</v>
      </c>
      <c r="J201" s="2"/>
      <c r="K201" s="189"/>
      <c r="L201" s="2"/>
      <c r="M201" s="2"/>
      <c r="S201" s="523"/>
      <c r="T201" s="523"/>
      <c r="U201" s="523"/>
      <c r="V201" s="523"/>
      <c r="Y201" s="524"/>
    </row>
    <row r="202" spans="1:25" x14ac:dyDescent="0.3">
      <c r="A202" s="36" t="s">
        <v>464</v>
      </c>
      <c r="B202" s="37" t="str">
        <f>IFERROR(I202/(I$37+I$68+I$99),"-")</f>
        <v>-</v>
      </c>
      <c r="C202" s="497"/>
      <c r="D202" s="319">
        <v>0</v>
      </c>
      <c r="E202" s="319">
        <v>0</v>
      </c>
      <c r="F202" s="319">
        <v>0</v>
      </c>
      <c r="G202" s="319">
        <v>0</v>
      </c>
      <c r="H202" s="520">
        <f t="shared" si="55"/>
        <v>0</v>
      </c>
      <c r="I202" s="39">
        <f t="shared" si="56"/>
        <v>0</v>
      </c>
      <c r="J202" s="2"/>
      <c r="K202" s="189"/>
      <c r="L202" s="2"/>
      <c r="M202" s="2"/>
      <c r="S202" s="523"/>
      <c r="T202" s="523"/>
      <c r="U202" s="523"/>
      <c r="V202" s="523"/>
      <c r="Y202" s="524"/>
    </row>
    <row r="203" spans="1:25" x14ac:dyDescent="0.3">
      <c r="A203" s="36" t="s">
        <v>465</v>
      </c>
      <c r="B203" s="37" t="str">
        <f>IFERROR(I203/(I$38+I$69+I$100),"-")</f>
        <v>-</v>
      </c>
      <c r="C203" s="497"/>
      <c r="D203" s="319">
        <v>0</v>
      </c>
      <c r="E203" s="319">
        <v>0</v>
      </c>
      <c r="F203" s="319">
        <v>0</v>
      </c>
      <c r="G203" s="319">
        <v>0</v>
      </c>
      <c r="H203" s="520">
        <f t="shared" si="55"/>
        <v>0</v>
      </c>
      <c r="I203" s="39">
        <f t="shared" si="56"/>
        <v>0</v>
      </c>
      <c r="J203" s="2"/>
      <c r="K203" s="189"/>
      <c r="L203" s="2"/>
      <c r="M203" s="2"/>
      <c r="S203" s="523"/>
      <c r="T203" s="523"/>
      <c r="U203" s="523"/>
      <c r="V203" s="523"/>
      <c r="Y203" s="524"/>
    </row>
    <row r="204" spans="1:25" x14ac:dyDescent="0.3">
      <c r="A204" s="59" t="s">
        <v>466</v>
      </c>
      <c r="B204" s="79" t="str">
        <f>IFERROR(I204/(I$39+I$70+I$101),"-")</f>
        <v>-</v>
      </c>
      <c r="C204" s="495"/>
      <c r="D204" s="325">
        <v>0</v>
      </c>
      <c r="E204" s="325">
        <v>0</v>
      </c>
      <c r="F204" s="325">
        <v>0</v>
      </c>
      <c r="G204" s="325">
        <v>0</v>
      </c>
      <c r="H204" s="196">
        <f t="shared" si="55"/>
        <v>0</v>
      </c>
      <c r="I204" s="231">
        <f t="shared" si="56"/>
        <v>0</v>
      </c>
      <c r="J204" s="2"/>
      <c r="K204" s="204"/>
      <c r="L204" s="2"/>
      <c r="M204" s="2"/>
      <c r="S204" s="523"/>
      <c r="T204" s="523"/>
      <c r="U204" s="523"/>
      <c r="V204" s="523"/>
      <c r="Y204" s="524"/>
    </row>
    <row r="205" spans="1:25" x14ac:dyDescent="0.3">
      <c r="A205" s="115" t="s">
        <v>67</v>
      </c>
      <c r="B205" s="53"/>
      <c r="C205" s="474"/>
      <c r="D205" s="223">
        <f t="shared" ref="D205" si="63">D206+D211+D216+D221+D226+D231</f>
        <v>178330.72653764157</v>
      </c>
      <c r="E205" s="223">
        <f t="shared" ref="E205" si="64">E206+E211+E216+E221+E226+E231</f>
        <v>178330.72653764146</v>
      </c>
      <c r="F205" s="223">
        <f t="shared" ref="F205:G205" si="65">F206+F211+F216+F221+F226+F231</f>
        <v>178330.72653764152</v>
      </c>
      <c r="G205" s="223">
        <f t="shared" si="65"/>
        <v>178330.72653764163</v>
      </c>
      <c r="H205" s="300">
        <f t="shared" si="55"/>
        <v>178330.72653764155</v>
      </c>
      <c r="I205" s="300">
        <f t="shared" si="56"/>
        <v>713322.90615056618</v>
      </c>
      <c r="J205" s="2"/>
      <c r="K205" s="462" t="s">
        <v>295</v>
      </c>
      <c r="L205" s="2"/>
      <c r="M205" s="2"/>
      <c r="S205" s="523"/>
      <c r="T205" s="523"/>
      <c r="U205" s="523"/>
      <c r="V205" s="523"/>
      <c r="Y205" s="524"/>
    </row>
    <row r="206" spans="1:25" x14ac:dyDescent="0.3">
      <c r="A206" s="116" t="s">
        <v>258</v>
      </c>
      <c r="B206" s="310">
        <f>IFERROR(I206/(I$10+I$41+I$72),"-")</f>
        <v>1.89E-2</v>
      </c>
      <c r="C206" s="499"/>
      <c r="D206" s="297">
        <f>SUM(D207:D210)</f>
        <v>107459.05792561869</v>
      </c>
      <c r="E206" s="297">
        <f>SUM(E207:E210)</f>
        <v>107459.05792561857</v>
      </c>
      <c r="F206" s="297">
        <f t="shared" ref="F206:G206" si="66">SUM(F207:F210)</f>
        <v>107459.0579256186</v>
      </c>
      <c r="G206" s="297">
        <f t="shared" si="66"/>
        <v>107459.05792561872</v>
      </c>
      <c r="H206" s="62">
        <f t="shared" ref="H206:H237" si="67">IFERROR(AVERAGE(C206:G206),0)</f>
        <v>107459.05792561865</v>
      </c>
      <c r="I206" s="62">
        <f t="shared" ref="I206:I237" si="68">SUM(C206:G206)</f>
        <v>429836.23170247459</v>
      </c>
      <c r="J206" s="2"/>
      <c r="K206" s="189"/>
      <c r="L206" s="2"/>
      <c r="M206" s="2"/>
      <c r="S206" s="523"/>
      <c r="T206" s="523"/>
      <c r="U206" s="523"/>
      <c r="V206" s="523"/>
      <c r="Y206" s="524"/>
    </row>
    <row r="207" spans="1:25" x14ac:dyDescent="0.3">
      <c r="A207" s="36" t="s">
        <v>463</v>
      </c>
      <c r="B207" s="37">
        <f>IFERROR(I207/(I$11+I$42+I$73),"-")</f>
        <v>1.89E-2</v>
      </c>
      <c r="C207" s="497"/>
      <c r="D207" s="320">
        <v>27012.696164153134</v>
      </c>
      <c r="E207" s="320">
        <v>20148.328907420564</v>
      </c>
      <c r="F207" s="320">
        <v>13835.271817197558</v>
      </c>
      <c r="G207" s="320">
        <v>7418.1979850997477</v>
      </c>
      <c r="H207" s="520">
        <f t="shared" si="67"/>
        <v>17103.623718467752</v>
      </c>
      <c r="I207" s="39">
        <f t="shared" si="68"/>
        <v>68414.494873871008</v>
      </c>
      <c r="J207" s="2"/>
      <c r="K207" s="188"/>
      <c r="L207" s="2"/>
      <c r="M207" s="2"/>
      <c r="S207" s="523"/>
      <c r="T207" s="523"/>
      <c r="U207" s="523"/>
      <c r="V207" s="523"/>
      <c r="Y207" s="524"/>
    </row>
    <row r="208" spans="1:25" ht="13.15" customHeight="1" x14ac:dyDescent="0.3">
      <c r="A208" s="36" t="s">
        <v>464</v>
      </c>
      <c r="B208" s="37">
        <f>IFERROR(I208/(I$12+I$43+I$74),"-")</f>
        <v>1.8899999999999997E-2</v>
      </c>
      <c r="C208" s="497"/>
      <c r="D208" s="319">
        <v>30863.409963302831</v>
      </c>
      <c r="E208" s="319">
        <v>31332.073700458361</v>
      </c>
      <c r="F208" s="319">
        <v>31666.597174796105</v>
      </c>
      <c r="G208" s="319">
        <v>31508.527483526919</v>
      </c>
      <c r="H208" s="520">
        <f t="shared" si="67"/>
        <v>31342.652080521053</v>
      </c>
      <c r="I208" s="39">
        <f t="shared" si="68"/>
        <v>125370.60832208421</v>
      </c>
      <c r="J208" s="2"/>
      <c r="K208" s="189"/>
      <c r="L208" s="2"/>
      <c r="M208" s="2"/>
      <c r="S208" s="523"/>
      <c r="T208" s="523"/>
      <c r="U208" s="523"/>
      <c r="V208" s="523"/>
      <c r="Y208" s="524"/>
    </row>
    <row r="209" spans="1:25" x14ac:dyDescent="0.3">
      <c r="A209" s="36" t="s">
        <v>465</v>
      </c>
      <c r="B209" s="37">
        <f>IFERROR(I209/(I$13+I$44+I$75),"-")</f>
        <v>1.89E-2</v>
      </c>
      <c r="C209" s="497"/>
      <c r="D209" s="319">
        <v>7112.904828119973</v>
      </c>
      <c r="E209" s="319">
        <v>7112.904828119973</v>
      </c>
      <c r="F209" s="319">
        <v>7112.904828119973</v>
      </c>
      <c r="G209" s="319">
        <v>7112.904828119973</v>
      </c>
      <c r="H209" s="520">
        <f t="shared" si="67"/>
        <v>7112.904828119973</v>
      </c>
      <c r="I209" s="39">
        <f t="shared" si="68"/>
        <v>28451.619312479892</v>
      </c>
      <c r="J209" s="2"/>
      <c r="K209" s="189"/>
      <c r="L209" s="2"/>
      <c r="M209" s="2"/>
      <c r="S209" s="523"/>
      <c r="T209" s="523"/>
      <c r="U209" s="523"/>
      <c r="V209" s="523"/>
      <c r="Y209" s="524"/>
    </row>
    <row r="210" spans="1:25" x14ac:dyDescent="0.3">
      <c r="A210" s="36" t="s">
        <v>466</v>
      </c>
      <c r="B210" s="37">
        <f>IFERROR(I210/(I$14+I$45+I$76),"-")</f>
        <v>1.89E-2</v>
      </c>
      <c r="C210" s="497"/>
      <c r="D210" s="319">
        <v>42470.046970042764</v>
      </c>
      <c r="E210" s="319">
        <v>48865.750489619684</v>
      </c>
      <c r="F210" s="319">
        <v>54844.284105504972</v>
      </c>
      <c r="G210" s="319">
        <v>61419.427628872087</v>
      </c>
      <c r="H210" s="520">
        <f t="shared" si="67"/>
        <v>51899.877298509877</v>
      </c>
      <c r="I210" s="39">
        <f t="shared" si="68"/>
        <v>207599.50919403951</v>
      </c>
      <c r="J210" s="2"/>
      <c r="K210" s="189"/>
      <c r="L210" s="2"/>
      <c r="M210" s="2"/>
      <c r="S210" s="523"/>
      <c r="T210" s="523"/>
      <c r="U210" s="523"/>
      <c r="V210" s="523"/>
      <c r="Y210" s="524"/>
    </row>
    <row r="211" spans="1:25" x14ac:dyDescent="0.3">
      <c r="A211" s="116" t="s">
        <v>467</v>
      </c>
      <c r="B211" s="310">
        <f>IFERROR(I211/(I$15+I$46+I$77),"-")</f>
        <v>2.2050000000000004E-2</v>
      </c>
      <c r="C211" s="499"/>
      <c r="D211" s="297">
        <f>SUM(D212:D215)</f>
        <v>57816.677224767322</v>
      </c>
      <c r="E211" s="297">
        <f t="shared" ref="E211:G211" si="69">SUM(E212:E215)</f>
        <v>57816.677224767322</v>
      </c>
      <c r="F211" s="297">
        <f t="shared" si="69"/>
        <v>57816.677224767322</v>
      </c>
      <c r="G211" s="297">
        <f t="shared" si="69"/>
        <v>57816.677224767322</v>
      </c>
      <c r="H211" s="62">
        <f t="shared" si="67"/>
        <v>57816.677224767322</v>
      </c>
      <c r="I211" s="62">
        <f t="shared" si="68"/>
        <v>231266.70889906929</v>
      </c>
      <c r="J211" s="2"/>
      <c r="K211" s="197"/>
      <c r="L211" s="2"/>
      <c r="M211" s="2"/>
      <c r="S211" s="523"/>
      <c r="T211" s="523"/>
      <c r="U211" s="523"/>
      <c r="V211" s="523"/>
      <c r="Y211" s="524"/>
    </row>
    <row r="212" spans="1:25" x14ac:dyDescent="0.3">
      <c r="A212" s="36" t="s">
        <v>463</v>
      </c>
      <c r="B212" s="37" t="str">
        <f>IFERROR(I212/(I$16+I$47+I$78),"-")</f>
        <v>-</v>
      </c>
      <c r="C212" s="497"/>
      <c r="D212" s="319">
        <v>0</v>
      </c>
      <c r="E212" s="319">
        <v>0</v>
      </c>
      <c r="F212" s="319">
        <v>0</v>
      </c>
      <c r="G212" s="319">
        <v>0</v>
      </c>
      <c r="H212" s="520">
        <f t="shared" si="67"/>
        <v>0</v>
      </c>
      <c r="I212" s="39">
        <f t="shared" si="68"/>
        <v>0</v>
      </c>
      <c r="J212" s="2"/>
      <c r="K212" s="189"/>
      <c r="L212" s="2"/>
      <c r="M212" s="2"/>
      <c r="S212" s="523"/>
      <c r="T212" s="523"/>
      <c r="U212" s="523"/>
      <c r="V212" s="523"/>
      <c r="Y212" s="524"/>
    </row>
    <row r="213" spans="1:25" x14ac:dyDescent="0.3">
      <c r="A213" s="36" t="s">
        <v>464</v>
      </c>
      <c r="B213" s="37">
        <f>IFERROR(I213/(I$17+I$48+I$79),"-")</f>
        <v>2.2050000000000004E-2</v>
      </c>
      <c r="C213" s="497"/>
      <c r="D213" s="319">
        <v>57816.677224767322</v>
      </c>
      <c r="E213" s="319">
        <v>57816.677224767322</v>
      </c>
      <c r="F213" s="319">
        <v>57816.677224767322</v>
      </c>
      <c r="G213" s="319">
        <v>57816.677224767322</v>
      </c>
      <c r="H213" s="520">
        <f t="shared" si="67"/>
        <v>57816.677224767322</v>
      </c>
      <c r="I213" s="39">
        <f t="shared" si="68"/>
        <v>231266.70889906929</v>
      </c>
      <c r="J213" s="2"/>
      <c r="K213" s="189"/>
      <c r="L213" s="2"/>
      <c r="M213" s="2"/>
      <c r="S213" s="523"/>
      <c r="T213" s="523"/>
      <c r="U213" s="523"/>
      <c r="V213" s="523"/>
      <c r="Y213" s="524"/>
    </row>
    <row r="214" spans="1:25" x14ac:dyDescent="0.3">
      <c r="A214" s="36" t="s">
        <v>465</v>
      </c>
      <c r="B214" s="37" t="str">
        <f>IFERROR(I214/(I$18+I$49+I$80),"-")</f>
        <v>-</v>
      </c>
      <c r="C214" s="497"/>
      <c r="D214" s="319">
        <v>0</v>
      </c>
      <c r="E214" s="319">
        <v>0</v>
      </c>
      <c r="F214" s="319">
        <v>0</v>
      </c>
      <c r="G214" s="319">
        <v>0</v>
      </c>
      <c r="H214" s="520">
        <f t="shared" si="67"/>
        <v>0</v>
      </c>
      <c r="I214" s="39">
        <f t="shared" si="68"/>
        <v>0</v>
      </c>
      <c r="J214" s="2"/>
      <c r="K214" s="189"/>
      <c r="L214" s="2"/>
      <c r="M214" s="2"/>
      <c r="S214" s="523"/>
      <c r="T214" s="523"/>
      <c r="U214" s="523"/>
      <c r="V214" s="523"/>
      <c r="Y214" s="524"/>
    </row>
    <row r="215" spans="1:25" x14ac:dyDescent="0.3">
      <c r="A215" s="59" t="s">
        <v>466</v>
      </c>
      <c r="B215" s="79" t="str">
        <f>IFERROR(I215/(I$19+I$50+I$81),"-")</f>
        <v>-</v>
      </c>
      <c r="C215" s="495"/>
      <c r="D215" s="325">
        <v>0</v>
      </c>
      <c r="E215" s="325">
        <v>0</v>
      </c>
      <c r="F215" s="325">
        <v>0</v>
      </c>
      <c r="G215" s="325">
        <v>0</v>
      </c>
      <c r="H215" s="196">
        <f t="shared" si="67"/>
        <v>0</v>
      </c>
      <c r="I215" s="231">
        <f t="shared" si="68"/>
        <v>0</v>
      </c>
      <c r="J215" s="2"/>
      <c r="K215" s="204"/>
      <c r="L215" s="2"/>
      <c r="M215" s="2"/>
      <c r="S215" s="523"/>
      <c r="T215" s="523"/>
      <c r="U215" s="523"/>
      <c r="V215" s="523"/>
      <c r="Y215" s="524"/>
    </row>
    <row r="216" spans="1:25" x14ac:dyDescent="0.3">
      <c r="A216" s="116" t="s">
        <v>468</v>
      </c>
      <c r="B216" s="310" t="str">
        <f>IFERROR(I216/(I$20+I$51+I$82),"-")</f>
        <v>-</v>
      </c>
      <c r="C216" s="499"/>
      <c r="D216" s="297">
        <f>SUM(D217:D220)</f>
        <v>0</v>
      </c>
      <c r="E216" s="297">
        <f t="shared" ref="E216:G216" si="70">SUM(E217:E220)</f>
        <v>0</v>
      </c>
      <c r="F216" s="297">
        <f t="shared" si="70"/>
        <v>0</v>
      </c>
      <c r="G216" s="297">
        <f t="shared" si="70"/>
        <v>0</v>
      </c>
      <c r="H216" s="62">
        <f t="shared" si="67"/>
        <v>0</v>
      </c>
      <c r="I216" s="62">
        <f t="shared" si="68"/>
        <v>0</v>
      </c>
      <c r="J216" s="2"/>
      <c r="K216" s="189"/>
      <c r="L216" s="2"/>
      <c r="M216" s="2"/>
      <c r="S216" s="523"/>
      <c r="T216" s="523"/>
      <c r="U216" s="523"/>
      <c r="V216" s="523"/>
      <c r="Y216" s="524"/>
    </row>
    <row r="217" spans="1:25" x14ac:dyDescent="0.3">
      <c r="A217" s="36" t="s">
        <v>463</v>
      </c>
      <c r="B217" s="37" t="str">
        <f>IFERROR(I217/(I$21+I$52+I$83),"-")</f>
        <v>-</v>
      </c>
      <c r="C217" s="497"/>
      <c r="D217" s="320">
        <v>0</v>
      </c>
      <c r="E217" s="320">
        <v>0</v>
      </c>
      <c r="F217" s="320">
        <v>0</v>
      </c>
      <c r="G217" s="320">
        <v>0</v>
      </c>
      <c r="H217" s="520">
        <f t="shared" si="67"/>
        <v>0</v>
      </c>
      <c r="I217" s="39">
        <f t="shared" si="68"/>
        <v>0</v>
      </c>
      <c r="J217" s="2"/>
      <c r="K217" s="188"/>
      <c r="L217" s="2"/>
      <c r="M217" s="2"/>
      <c r="S217" s="523"/>
      <c r="T217" s="523"/>
      <c r="U217" s="523"/>
      <c r="V217" s="523"/>
      <c r="Y217" s="524"/>
    </row>
    <row r="218" spans="1:25" ht="13.15" customHeight="1" x14ac:dyDescent="0.3">
      <c r="A218" s="36" t="s">
        <v>464</v>
      </c>
      <c r="B218" s="37" t="str">
        <f>IFERROR(I218/(I$22+I$53+I$84),"-")</f>
        <v>-</v>
      </c>
      <c r="C218" s="497"/>
      <c r="D218" s="319">
        <v>0</v>
      </c>
      <c r="E218" s="319">
        <v>0</v>
      </c>
      <c r="F218" s="319">
        <v>0</v>
      </c>
      <c r="G218" s="319">
        <v>0</v>
      </c>
      <c r="H218" s="520">
        <f t="shared" si="67"/>
        <v>0</v>
      </c>
      <c r="I218" s="39">
        <f t="shared" si="68"/>
        <v>0</v>
      </c>
      <c r="J218" s="2"/>
      <c r="K218" s="189"/>
      <c r="L218" s="2"/>
      <c r="M218" s="2"/>
      <c r="S218" s="523"/>
      <c r="T218" s="523"/>
      <c r="U218" s="523"/>
      <c r="V218" s="523"/>
      <c r="Y218" s="524"/>
    </row>
    <row r="219" spans="1:25" x14ac:dyDescent="0.3">
      <c r="A219" s="36" t="s">
        <v>465</v>
      </c>
      <c r="B219" s="37" t="str">
        <f>IFERROR(I219/(I$23+I$54+I$85),"-")</f>
        <v>-</v>
      </c>
      <c r="C219" s="497"/>
      <c r="D219" s="319">
        <v>0</v>
      </c>
      <c r="E219" s="319">
        <v>0</v>
      </c>
      <c r="F219" s="319">
        <v>0</v>
      </c>
      <c r="G219" s="319">
        <v>0</v>
      </c>
      <c r="H219" s="520">
        <f t="shared" si="67"/>
        <v>0</v>
      </c>
      <c r="I219" s="39">
        <f t="shared" si="68"/>
        <v>0</v>
      </c>
      <c r="J219" s="2"/>
      <c r="K219" s="189"/>
      <c r="L219" s="2"/>
      <c r="M219" s="2"/>
      <c r="S219" s="523"/>
      <c r="T219" s="523"/>
      <c r="U219" s="523"/>
      <c r="V219" s="523"/>
      <c r="Y219" s="524"/>
    </row>
    <row r="220" spans="1:25" x14ac:dyDescent="0.3">
      <c r="A220" s="36" t="s">
        <v>466</v>
      </c>
      <c r="B220" s="37" t="str">
        <f>IFERROR(I220/(I$24+I$55+I$86),"-")</f>
        <v>-</v>
      </c>
      <c r="C220" s="497"/>
      <c r="D220" s="319">
        <v>0</v>
      </c>
      <c r="E220" s="319">
        <v>0</v>
      </c>
      <c r="F220" s="319">
        <v>0</v>
      </c>
      <c r="G220" s="319">
        <v>0</v>
      </c>
      <c r="H220" s="520">
        <f t="shared" si="67"/>
        <v>0</v>
      </c>
      <c r="I220" s="39">
        <f t="shared" si="68"/>
        <v>0</v>
      </c>
      <c r="J220" s="2"/>
      <c r="K220" s="189"/>
      <c r="L220" s="2"/>
      <c r="M220" s="2"/>
      <c r="S220" s="523"/>
      <c r="T220" s="523"/>
      <c r="U220" s="523"/>
      <c r="V220" s="523"/>
      <c r="Y220" s="524"/>
    </row>
    <row r="221" spans="1:25" x14ac:dyDescent="0.3">
      <c r="A221" s="116" t="s">
        <v>257</v>
      </c>
      <c r="B221" s="310">
        <f>IFERROR(I221/(I$25+I$56+I$87),"-")</f>
        <v>4.2262795180173646E-3</v>
      </c>
      <c r="C221" s="499"/>
      <c r="D221" s="297">
        <f>SUM(D222:D225)</f>
        <v>0</v>
      </c>
      <c r="E221" s="297">
        <f t="shared" ref="E221:G221" si="71">SUM(E222:E225)</f>
        <v>1529.9935141690526</v>
      </c>
      <c r="F221" s="297">
        <f t="shared" si="71"/>
        <v>2610.9982774511136</v>
      </c>
      <c r="G221" s="297">
        <f t="shared" si="71"/>
        <v>3120.7055744918803</v>
      </c>
      <c r="H221" s="62">
        <f t="shared" si="67"/>
        <v>1815.4243415280116</v>
      </c>
      <c r="I221" s="62">
        <f t="shared" si="68"/>
        <v>7261.6973661120464</v>
      </c>
      <c r="J221" s="2"/>
      <c r="K221" s="197"/>
      <c r="L221" s="2"/>
      <c r="M221" s="2"/>
      <c r="S221" s="523"/>
      <c r="T221" s="523"/>
      <c r="U221" s="523"/>
      <c r="V221" s="523"/>
      <c r="Y221" s="524"/>
    </row>
    <row r="222" spans="1:25" x14ac:dyDescent="0.3">
      <c r="A222" s="36" t="s">
        <v>463</v>
      </c>
      <c r="B222" s="37">
        <f>IFERROR(I222/(I$26+I$57+I$88),"-")</f>
        <v>0</v>
      </c>
      <c r="C222" s="497"/>
      <c r="D222" s="319">
        <v>0</v>
      </c>
      <c r="E222" s="319">
        <v>0</v>
      </c>
      <c r="F222" s="319">
        <v>0</v>
      </c>
      <c r="G222" s="319">
        <v>0</v>
      </c>
      <c r="H222" s="520">
        <f t="shared" si="67"/>
        <v>0</v>
      </c>
      <c r="I222" s="39">
        <f t="shared" si="68"/>
        <v>0</v>
      </c>
      <c r="J222" s="2"/>
      <c r="K222" s="189"/>
      <c r="L222" s="2"/>
      <c r="M222" s="2"/>
      <c r="S222" s="523"/>
      <c r="T222" s="523"/>
      <c r="U222" s="523"/>
      <c r="V222" s="523"/>
      <c r="Y222" s="524"/>
    </row>
    <row r="223" spans="1:25" x14ac:dyDescent="0.3">
      <c r="A223" s="36" t="s">
        <v>464</v>
      </c>
      <c r="B223" s="37" t="str">
        <f>IFERROR(I223/(I$27+I$58+I$89),"-")</f>
        <v>-</v>
      </c>
      <c r="C223" s="497"/>
      <c r="D223" s="319">
        <v>0</v>
      </c>
      <c r="E223" s="319">
        <v>0</v>
      </c>
      <c r="F223" s="319">
        <v>0</v>
      </c>
      <c r="G223" s="319">
        <v>0</v>
      </c>
      <c r="H223" s="520">
        <f t="shared" si="67"/>
        <v>0</v>
      </c>
      <c r="I223" s="39">
        <f t="shared" si="68"/>
        <v>0</v>
      </c>
      <c r="J223" s="2"/>
      <c r="K223" s="189"/>
      <c r="L223" s="2"/>
      <c r="M223" s="2"/>
      <c r="S223" s="523"/>
      <c r="T223" s="523"/>
      <c r="U223" s="523"/>
      <c r="V223" s="523"/>
      <c r="Y223" s="524"/>
    </row>
    <row r="224" spans="1:25" x14ac:dyDescent="0.3">
      <c r="A224" s="36" t="s">
        <v>465</v>
      </c>
      <c r="B224" s="37" t="str">
        <f>IFERROR(I224/(I$28+I$59+I$90),"-")</f>
        <v>-</v>
      </c>
      <c r="C224" s="497"/>
      <c r="D224" s="319">
        <v>0</v>
      </c>
      <c r="E224" s="319">
        <v>0</v>
      </c>
      <c r="F224" s="319">
        <v>0</v>
      </c>
      <c r="G224" s="319">
        <v>0</v>
      </c>
      <c r="H224" s="520">
        <f t="shared" si="67"/>
        <v>0</v>
      </c>
      <c r="I224" s="39">
        <f t="shared" si="68"/>
        <v>0</v>
      </c>
      <c r="J224" s="2"/>
      <c r="K224" s="189"/>
      <c r="L224" s="2"/>
      <c r="M224" s="2"/>
      <c r="S224" s="523"/>
      <c r="T224" s="523"/>
      <c r="U224" s="523"/>
      <c r="V224" s="523"/>
      <c r="Y224" s="524"/>
    </row>
    <row r="225" spans="1:25" x14ac:dyDescent="0.3">
      <c r="A225" s="59" t="s">
        <v>466</v>
      </c>
      <c r="B225" s="79">
        <f>IFERROR(I225/(I$29+I$60+I$91),"-")</f>
        <v>1.8899999999999997E-2</v>
      </c>
      <c r="C225" s="495"/>
      <c r="D225" s="325">
        <v>0</v>
      </c>
      <c r="E225" s="325">
        <v>1529.9935141690526</v>
      </c>
      <c r="F225" s="325">
        <v>2610.9982774511136</v>
      </c>
      <c r="G225" s="325">
        <v>3120.7055744918803</v>
      </c>
      <c r="H225" s="196">
        <f t="shared" si="67"/>
        <v>1815.4243415280116</v>
      </c>
      <c r="I225" s="231">
        <f t="shared" si="68"/>
        <v>7261.6973661120464</v>
      </c>
      <c r="J225" s="2"/>
      <c r="K225" s="204"/>
      <c r="L225" s="2"/>
      <c r="M225" s="2"/>
      <c r="S225" s="523"/>
      <c r="T225" s="523"/>
      <c r="U225" s="523"/>
      <c r="V225" s="523"/>
      <c r="Y225" s="524"/>
    </row>
    <row r="226" spans="1:25" x14ac:dyDescent="0.3">
      <c r="A226" s="116" t="s">
        <v>259</v>
      </c>
      <c r="B226" s="310">
        <f>IFERROR(I226/(I$30+I$61+I$92),"-")</f>
        <v>1.89E-2</v>
      </c>
      <c r="C226" s="499"/>
      <c r="D226" s="297">
        <f>SUM(D227:D230)</f>
        <v>13054.991387255566</v>
      </c>
      <c r="E226" s="297">
        <f t="shared" ref="E226:G226" si="72">SUM(E227:E230)</f>
        <v>11524.997873086515</v>
      </c>
      <c r="F226" s="297">
        <f t="shared" si="72"/>
        <v>10443.993109804453</v>
      </c>
      <c r="G226" s="297">
        <f t="shared" si="72"/>
        <v>9934.2858127636882</v>
      </c>
      <c r="H226" s="62">
        <f t="shared" si="67"/>
        <v>11239.567045727556</v>
      </c>
      <c r="I226" s="62">
        <f t="shared" si="68"/>
        <v>44958.268182910222</v>
      </c>
      <c r="J226" s="2"/>
      <c r="K226" s="189"/>
      <c r="L226" s="2"/>
      <c r="M226" s="2"/>
      <c r="S226" s="523"/>
      <c r="T226" s="523"/>
      <c r="U226" s="523"/>
      <c r="V226" s="523"/>
      <c r="Y226" s="524"/>
    </row>
    <row r="227" spans="1:25" x14ac:dyDescent="0.3">
      <c r="A227" s="36" t="s">
        <v>463</v>
      </c>
      <c r="B227" s="37">
        <f>IFERROR(I227/(I$31+I$62+I$93),"-")</f>
        <v>1.8899999999999997E-2</v>
      </c>
      <c r="C227" s="497"/>
      <c r="D227" s="320">
        <v>4351.6637957518551</v>
      </c>
      <c r="E227" s="320">
        <v>2826.4366165179085</v>
      </c>
      <c r="F227" s="320">
        <v>1740.6655183007424</v>
      </c>
      <c r="G227" s="320">
        <v>1232.5475798413311</v>
      </c>
      <c r="H227" s="520">
        <f t="shared" si="67"/>
        <v>2537.8283776029593</v>
      </c>
      <c r="I227" s="39">
        <f t="shared" si="68"/>
        <v>10151.313510411837</v>
      </c>
      <c r="J227" s="2"/>
      <c r="K227" s="188"/>
      <c r="L227" s="2"/>
      <c r="M227" s="2"/>
      <c r="S227" s="523"/>
      <c r="T227" s="523"/>
      <c r="U227" s="523"/>
      <c r="V227" s="523"/>
      <c r="Y227" s="524"/>
    </row>
    <row r="228" spans="1:25" ht="13.15" customHeight="1" x14ac:dyDescent="0.3">
      <c r="A228" s="36" t="s">
        <v>464</v>
      </c>
      <c r="B228" s="37">
        <f>IFERROR(I228/(I$32+I$63+I$94),"-")</f>
        <v>1.89E-2</v>
      </c>
      <c r="C228" s="497"/>
      <c r="D228" s="319">
        <v>8703.3275915037102</v>
      </c>
      <c r="E228" s="319">
        <v>8698.561256568606</v>
      </c>
      <c r="F228" s="319">
        <v>8703.3275915037102</v>
      </c>
      <c r="G228" s="319">
        <v>8701.7382329223565</v>
      </c>
      <c r="H228" s="520">
        <f t="shared" si="67"/>
        <v>8701.7386681245953</v>
      </c>
      <c r="I228" s="39">
        <f t="shared" si="68"/>
        <v>34806.954672498381</v>
      </c>
      <c r="J228" s="2"/>
      <c r="K228" s="189"/>
      <c r="L228" s="2"/>
      <c r="M228" s="2"/>
      <c r="S228" s="523"/>
      <c r="T228" s="523"/>
      <c r="U228" s="523"/>
      <c r="V228" s="523"/>
      <c r="Y228" s="524"/>
    </row>
    <row r="229" spans="1:25" x14ac:dyDescent="0.3">
      <c r="A229" s="36" t="s">
        <v>465</v>
      </c>
      <c r="B229" s="37" t="str">
        <f>IFERROR(I229/(I$33+I$64+I$95),"-")</f>
        <v>-</v>
      </c>
      <c r="C229" s="497"/>
      <c r="D229" s="319">
        <v>0</v>
      </c>
      <c r="E229" s="319">
        <v>0</v>
      </c>
      <c r="F229" s="319">
        <v>0</v>
      </c>
      <c r="G229" s="319">
        <v>0</v>
      </c>
      <c r="H229" s="520">
        <f t="shared" si="67"/>
        <v>0</v>
      </c>
      <c r="I229" s="39">
        <f t="shared" si="68"/>
        <v>0</v>
      </c>
      <c r="J229" s="2"/>
      <c r="K229" s="189"/>
      <c r="L229" s="2"/>
      <c r="M229" s="2"/>
      <c r="S229" s="523"/>
      <c r="T229" s="523"/>
      <c r="U229" s="523"/>
      <c r="V229" s="523"/>
      <c r="Y229" s="524"/>
    </row>
    <row r="230" spans="1:25" x14ac:dyDescent="0.3">
      <c r="A230" s="36" t="s">
        <v>466</v>
      </c>
      <c r="B230" s="37" t="str">
        <f>IFERROR(I230/(I$34+I$65+I$96),"-")</f>
        <v>-</v>
      </c>
      <c r="C230" s="497"/>
      <c r="D230" s="319">
        <v>0</v>
      </c>
      <c r="E230" s="319">
        <v>0</v>
      </c>
      <c r="F230" s="319">
        <v>0</v>
      </c>
      <c r="G230" s="319">
        <v>0</v>
      </c>
      <c r="H230" s="520">
        <f t="shared" si="67"/>
        <v>0</v>
      </c>
      <c r="I230" s="39">
        <f t="shared" si="68"/>
        <v>0</v>
      </c>
      <c r="J230" s="2"/>
      <c r="K230" s="189"/>
      <c r="L230" s="2"/>
      <c r="M230" s="2"/>
      <c r="S230" s="523"/>
      <c r="T230" s="523"/>
      <c r="U230" s="523"/>
      <c r="V230" s="523"/>
      <c r="Y230" s="524"/>
    </row>
    <row r="231" spans="1:25" x14ac:dyDescent="0.3">
      <c r="A231" s="116" t="s">
        <v>447</v>
      </c>
      <c r="B231" s="310" t="str">
        <f>IFERROR(I231/(I$35+I$66+I$97),"-")</f>
        <v>-</v>
      </c>
      <c r="C231" s="499"/>
      <c r="D231" s="297">
        <f>SUM(D232:D235)</f>
        <v>0</v>
      </c>
      <c r="E231" s="297">
        <f t="shared" ref="E231:G231" si="73">SUM(E232:E235)</f>
        <v>0</v>
      </c>
      <c r="F231" s="297">
        <f t="shared" si="73"/>
        <v>0</v>
      </c>
      <c r="G231" s="297">
        <f t="shared" si="73"/>
        <v>0</v>
      </c>
      <c r="H231" s="62">
        <f t="shared" si="67"/>
        <v>0</v>
      </c>
      <c r="I231" s="62">
        <f t="shared" si="68"/>
        <v>0</v>
      </c>
      <c r="J231" s="2"/>
      <c r="K231" s="197"/>
      <c r="L231" s="2"/>
      <c r="M231" s="2"/>
      <c r="S231" s="523"/>
      <c r="T231" s="523"/>
      <c r="U231" s="523"/>
      <c r="V231" s="523"/>
      <c r="Y231" s="524"/>
    </row>
    <row r="232" spans="1:25" x14ac:dyDescent="0.3">
      <c r="A232" s="36" t="s">
        <v>463</v>
      </c>
      <c r="B232" s="37" t="str">
        <f>IFERROR(I232/(I$36+I$67+I$98),"-")</f>
        <v>-</v>
      </c>
      <c r="C232" s="497"/>
      <c r="D232" s="319">
        <v>0</v>
      </c>
      <c r="E232" s="319">
        <v>0</v>
      </c>
      <c r="F232" s="319">
        <v>0</v>
      </c>
      <c r="G232" s="319">
        <v>0</v>
      </c>
      <c r="H232" s="520">
        <f t="shared" si="67"/>
        <v>0</v>
      </c>
      <c r="I232" s="39">
        <f t="shared" si="68"/>
        <v>0</v>
      </c>
      <c r="J232" s="2"/>
      <c r="K232" s="189"/>
      <c r="L232" s="2"/>
      <c r="M232" s="2"/>
      <c r="S232" s="523"/>
      <c r="T232" s="523"/>
      <c r="U232" s="523"/>
      <c r="V232" s="523"/>
      <c r="Y232" s="524"/>
    </row>
    <row r="233" spans="1:25" x14ac:dyDescent="0.3">
      <c r="A233" s="36" t="s">
        <v>464</v>
      </c>
      <c r="B233" s="37" t="str">
        <f>IFERROR(I233/(I$37+I$68+I$99),"-")</f>
        <v>-</v>
      </c>
      <c r="C233" s="497"/>
      <c r="D233" s="319">
        <v>0</v>
      </c>
      <c r="E233" s="319">
        <v>0</v>
      </c>
      <c r="F233" s="319">
        <v>0</v>
      </c>
      <c r="G233" s="319">
        <v>0</v>
      </c>
      <c r="H233" s="520">
        <f t="shared" si="67"/>
        <v>0</v>
      </c>
      <c r="I233" s="39">
        <f t="shared" si="68"/>
        <v>0</v>
      </c>
      <c r="J233" s="2"/>
      <c r="K233" s="189"/>
      <c r="L233" s="2"/>
      <c r="M233" s="2"/>
      <c r="S233" s="523"/>
      <c r="T233" s="523"/>
      <c r="U233" s="523"/>
      <c r="V233" s="523"/>
      <c r="Y233" s="524"/>
    </row>
    <row r="234" spans="1:25" x14ac:dyDescent="0.3">
      <c r="A234" s="36" t="s">
        <v>465</v>
      </c>
      <c r="B234" s="37" t="str">
        <f>IFERROR(I234/(I$38+I$69+I$100),"-")</f>
        <v>-</v>
      </c>
      <c r="C234" s="497"/>
      <c r="D234" s="319">
        <v>0</v>
      </c>
      <c r="E234" s="319">
        <v>0</v>
      </c>
      <c r="F234" s="319">
        <v>0</v>
      </c>
      <c r="G234" s="319">
        <v>0</v>
      </c>
      <c r="H234" s="520">
        <f t="shared" si="67"/>
        <v>0</v>
      </c>
      <c r="I234" s="39">
        <f t="shared" si="68"/>
        <v>0</v>
      </c>
      <c r="J234" s="2"/>
      <c r="K234" s="189"/>
      <c r="L234" s="2"/>
      <c r="M234" s="2"/>
      <c r="S234" s="523"/>
      <c r="T234" s="523"/>
      <c r="U234" s="523"/>
      <c r="V234" s="523"/>
      <c r="Y234" s="524"/>
    </row>
    <row r="235" spans="1:25" x14ac:dyDescent="0.3">
      <c r="A235" s="59" t="s">
        <v>466</v>
      </c>
      <c r="B235" s="79" t="str">
        <f>IFERROR(I235/(I$39+I$70+I$101),"-")</f>
        <v>-</v>
      </c>
      <c r="C235" s="495"/>
      <c r="D235" s="325">
        <v>0</v>
      </c>
      <c r="E235" s="325">
        <v>0</v>
      </c>
      <c r="F235" s="325">
        <v>0</v>
      </c>
      <c r="G235" s="325">
        <v>0</v>
      </c>
      <c r="H235" s="196">
        <f t="shared" si="67"/>
        <v>0</v>
      </c>
      <c r="I235" s="231">
        <f t="shared" si="68"/>
        <v>0</v>
      </c>
      <c r="J235" s="2"/>
      <c r="K235" s="204"/>
      <c r="L235" s="2"/>
      <c r="M235" s="2"/>
      <c r="S235" s="523"/>
      <c r="T235" s="523"/>
      <c r="U235" s="523"/>
      <c r="V235" s="523"/>
      <c r="Y235" s="524"/>
    </row>
    <row r="236" spans="1:25" x14ac:dyDescent="0.3">
      <c r="A236" s="115" t="s">
        <v>182</v>
      </c>
      <c r="B236" s="53"/>
      <c r="C236" s="474"/>
      <c r="D236" s="223">
        <f t="shared" ref="D236" si="74">D237+D242+D247+D252+D257+D262</f>
        <v>1576329.320791458</v>
      </c>
      <c r="E236" s="223">
        <f t="shared" ref="E236" si="75">E237+E242+E247+E252+E257+E262</f>
        <v>1971254.6463736391</v>
      </c>
      <c r="F236" s="223">
        <f t="shared" ref="F236:G236" si="76">F237+F242+F247+F252+F257+F262</f>
        <v>1685361.2636696191</v>
      </c>
      <c r="G236" s="223">
        <f t="shared" si="76"/>
        <v>2274095.7990164803</v>
      </c>
      <c r="H236" s="300">
        <f t="shared" si="67"/>
        <v>1876760.2574627991</v>
      </c>
      <c r="I236" s="300">
        <f t="shared" si="68"/>
        <v>7507041.0298511963</v>
      </c>
      <c r="J236" s="2"/>
      <c r="K236" s="462" t="s">
        <v>295</v>
      </c>
      <c r="L236" s="2"/>
      <c r="M236" s="2"/>
      <c r="S236" s="523"/>
      <c r="T236" s="523"/>
      <c r="U236" s="523"/>
      <c r="V236" s="523"/>
      <c r="Y236" s="524"/>
    </row>
    <row r="237" spans="1:25" x14ac:dyDescent="0.3">
      <c r="A237" s="116" t="s">
        <v>258</v>
      </c>
      <c r="B237" s="310">
        <f>IFERROR(I237/(I$10+I$41+I$72),"-")</f>
        <v>0.18231566428520332</v>
      </c>
      <c r="C237" s="499"/>
      <c r="D237" s="297">
        <f>SUM(D238:D241)</f>
        <v>602980.17781330319</v>
      </c>
      <c r="E237" s="297">
        <f>SUM(E238:E241)</f>
        <v>1400582.3327747523</v>
      </c>
      <c r="F237" s="297">
        <f t="shared" ref="F237:G237" si="77">SUM(F238:F241)</f>
        <v>739366.6285779553</v>
      </c>
      <c r="G237" s="297">
        <f t="shared" si="77"/>
        <v>1403413.618330562</v>
      </c>
      <c r="H237" s="62">
        <f t="shared" si="67"/>
        <v>1036585.6893741431</v>
      </c>
      <c r="I237" s="62">
        <f t="shared" si="68"/>
        <v>4146342.7574965726</v>
      </c>
      <c r="J237" s="2"/>
      <c r="K237" s="189"/>
      <c r="L237" s="2"/>
      <c r="M237" s="2"/>
      <c r="S237" s="523"/>
      <c r="T237" s="523"/>
      <c r="U237" s="523"/>
      <c r="V237" s="523"/>
      <c r="Y237" s="524"/>
    </row>
    <row r="238" spans="1:25" x14ac:dyDescent="0.3">
      <c r="A238" s="36" t="s">
        <v>463</v>
      </c>
      <c r="B238" s="37">
        <f>IFERROR(I238/(I$11+I$42+I$73),"-")</f>
        <v>0.14504922849121199</v>
      </c>
      <c r="C238" s="497"/>
      <c r="D238" s="320">
        <v>166479.97140558739</v>
      </c>
      <c r="E238" s="320">
        <v>158822.78387071323</v>
      </c>
      <c r="F238" s="320">
        <v>125303.39145477438</v>
      </c>
      <c r="G238" s="320">
        <v>74445.160098076754</v>
      </c>
      <c r="H238" s="520">
        <f t="shared" ref="H238:H269" si="78">IFERROR(AVERAGE(C238:G238),0)</f>
        <v>131262.82670728792</v>
      </c>
      <c r="I238" s="39">
        <f t="shared" ref="I238:I269" si="79">SUM(C238:G238)</f>
        <v>525051.3068291517</v>
      </c>
      <c r="J238" s="2"/>
      <c r="K238" s="188"/>
      <c r="L238" s="2"/>
      <c r="M238" s="2"/>
      <c r="S238" s="523"/>
      <c r="T238" s="523"/>
      <c r="U238" s="523"/>
      <c r="V238" s="523"/>
      <c r="Y238" s="524"/>
    </row>
    <row r="239" spans="1:25" ht="13.15" customHeight="1" x14ac:dyDescent="0.3">
      <c r="A239" s="36" t="s">
        <v>464</v>
      </c>
      <c r="B239" s="37">
        <f>IFERROR(I239/(I$12+I$43+I$74),"-")</f>
        <v>0.36422139898298411</v>
      </c>
      <c r="C239" s="497"/>
      <c r="D239" s="319">
        <v>266050.87677615846</v>
      </c>
      <c r="E239" s="319">
        <v>1062192.5613837312</v>
      </c>
      <c r="F239" s="319">
        <v>282854.00359703787</v>
      </c>
      <c r="G239" s="319">
        <v>804916.22778895986</v>
      </c>
      <c r="H239" s="520">
        <f t="shared" si="78"/>
        <v>604003.41738647176</v>
      </c>
      <c r="I239" s="39">
        <f t="shared" si="79"/>
        <v>2416013.669545887</v>
      </c>
      <c r="J239" s="2"/>
      <c r="K239" s="189"/>
      <c r="L239" s="2"/>
      <c r="M239" s="2"/>
      <c r="S239" s="523"/>
      <c r="T239" s="523"/>
      <c r="U239" s="523"/>
      <c r="V239" s="523"/>
      <c r="Y239" s="524"/>
    </row>
    <row r="240" spans="1:25" x14ac:dyDescent="0.3">
      <c r="A240" s="36" t="s">
        <v>465</v>
      </c>
      <c r="B240" s="37">
        <f>IFERROR(I240/(I$13+I$44+I$75),"-")</f>
        <v>0.18197355883313165</v>
      </c>
      <c r="C240" s="497"/>
      <c r="D240" s="319">
        <v>92615.801691483444</v>
      </c>
      <c r="E240" s="319">
        <v>38095.281911144128</v>
      </c>
      <c r="F240" s="319">
        <v>70868.508344383852</v>
      </c>
      <c r="G240" s="319">
        <v>72359.160479307335</v>
      </c>
      <c r="H240" s="520">
        <f t="shared" si="78"/>
        <v>68484.688106579692</v>
      </c>
      <c r="I240" s="39">
        <f t="shared" si="79"/>
        <v>273938.75242631877</v>
      </c>
      <c r="J240" s="2"/>
      <c r="K240" s="189"/>
      <c r="L240" s="2"/>
      <c r="M240" s="2"/>
      <c r="S240" s="523"/>
      <c r="T240" s="523"/>
      <c r="U240" s="523"/>
      <c r="V240" s="523"/>
      <c r="Y240" s="524"/>
    </row>
    <row r="241" spans="1:25" x14ac:dyDescent="0.3">
      <c r="A241" s="36" t="s">
        <v>466</v>
      </c>
      <c r="B241" s="37">
        <f>IFERROR(I241/(I$14+I$45+I$76),"-")</f>
        <v>8.4789736308514121E-2</v>
      </c>
      <c r="C241" s="497"/>
      <c r="D241" s="319">
        <v>77833.527940073895</v>
      </c>
      <c r="E241" s="319">
        <v>141471.70560916385</v>
      </c>
      <c r="F241" s="319">
        <v>260340.72518175919</v>
      </c>
      <c r="G241" s="319">
        <v>451693.06996421807</v>
      </c>
      <c r="H241" s="520">
        <f t="shared" si="78"/>
        <v>232834.75717380375</v>
      </c>
      <c r="I241" s="39">
        <f t="shared" si="79"/>
        <v>931339.02869521501</v>
      </c>
      <c r="J241" s="2"/>
      <c r="K241" s="189"/>
      <c r="L241" s="2"/>
      <c r="M241" s="2"/>
      <c r="S241" s="523"/>
      <c r="T241" s="523"/>
      <c r="U241" s="523"/>
      <c r="V241" s="523"/>
      <c r="Y241" s="524"/>
    </row>
    <row r="242" spans="1:25" x14ac:dyDescent="0.3">
      <c r="A242" s="116" t="s">
        <v>467</v>
      </c>
      <c r="B242" s="310">
        <f>IFERROR(I242/(I$15+I$46+I$77),"-")</f>
        <v>0.24195083097145495</v>
      </c>
      <c r="C242" s="499"/>
      <c r="D242" s="297">
        <f>SUM(D243:D246)</f>
        <v>562192.17265660851</v>
      </c>
      <c r="E242" s="297">
        <f t="shared" ref="E242:G242" si="80">SUM(E243:E246)</f>
        <v>499027.06883346336</v>
      </c>
      <c r="F242" s="297">
        <f t="shared" si="80"/>
        <v>648918.15981148765</v>
      </c>
      <c r="G242" s="297">
        <f t="shared" si="80"/>
        <v>827512.14038385439</v>
      </c>
      <c r="H242" s="62">
        <f t="shared" si="78"/>
        <v>634412.38542135351</v>
      </c>
      <c r="I242" s="62">
        <f t="shared" si="79"/>
        <v>2537649.541685414</v>
      </c>
      <c r="J242" s="2"/>
      <c r="K242" s="197"/>
      <c r="L242" s="2"/>
      <c r="M242" s="2"/>
      <c r="S242" s="523"/>
      <c r="T242" s="523"/>
      <c r="U242" s="523"/>
      <c r="V242" s="523"/>
      <c r="Y242" s="524"/>
    </row>
    <row r="243" spans="1:25" x14ac:dyDescent="0.3">
      <c r="A243" s="36" t="s">
        <v>463</v>
      </c>
      <c r="B243" s="37" t="str">
        <f>IFERROR(I243/(I$16+I$47+I$78),"-")</f>
        <v>-</v>
      </c>
      <c r="C243" s="497"/>
      <c r="D243" s="319">
        <v>0</v>
      </c>
      <c r="E243" s="319">
        <v>0</v>
      </c>
      <c r="F243" s="319">
        <v>0</v>
      </c>
      <c r="G243" s="319">
        <v>0</v>
      </c>
      <c r="H243" s="520">
        <f t="shared" si="78"/>
        <v>0</v>
      </c>
      <c r="I243" s="39">
        <f t="shared" si="79"/>
        <v>0</v>
      </c>
      <c r="J243" s="2"/>
      <c r="K243" s="189"/>
      <c r="L243" s="2"/>
      <c r="M243" s="2"/>
      <c r="S243" s="523"/>
      <c r="T243" s="523"/>
      <c r="U243" s="523"/>
      <c r="V243" s="523"/>
      <c r="Y243" s="524"/>
    </row>
    <row r="244" spans="1:25" x14ac:dyDescent="0.3">
      <c r="A244" s="36" t="s">
        <v>464</v>
      </c>
      <c r="B244" s="37">
        <f>IFERROR(I244/(I$17+I$48+I$79),"-")</f>
        <v>0.24195083097145495</v>
      </c>
      <c r="C244" s="497"/>
      <c r="D244" s="319">
        <v>562192.17265660851</v>
      </c>
      <c r="E244" s="319">
        <v>499027.06883346336</v>
      </c>
      <c r="F244" s="319">
        <v>648918.15981148765</v>
      </c>
      <c r="G244" s="319">
        <v>827512.14038385439</v>
      </c>
      <c r="H244" s="520">
        <f t="shared" si="78"/>
        <v>634412.38542135351</v>
      </c>
      <c r="I244" s="39">
        <f t="shared" si="79"/>
        <v>2537649.541685414</v>
      </c>
      <c r="J244" s="2"/>
      <c r="K244" s="189"/>
      <c r="L244" s="2"/>
      <c r="M244" s="2"/>
      <c r="S244" s="523"/>
      <c r="T244" s="523"/>
      <c r="U244" s="523"/>
      <c r="V244" s="523"/>
      <c r="Y244" s="524"/>
    </row>
    <row r="245" spans="1:25" x14ac:dyDescent="0.3">
      <c r="A245" s="36" t="s">
        <v>465</v>
      </c>
      <c r="B245" s="37" t="str">
        <f>IFERROR(I245/(I$18+I$49+I$80),"-")</f>
        <v>-</v>
      </c>
      <c r="C245" s="497"/>
      <c r="D245" s="319">
        <v>0</v>
      </c>
      <c r="E245" s="319">
        <v>0</v>
      </c>
      <c r="F245" s="319">
        <v>0</v>
      </c>
      <c r="G245" s="319">
        <v>0</v>
      </c>
      <c r="H245" s="520">
        <f t="shared" si="78"/>
        <v>0</v>
      </c>
      <c r="I245" s="39">
        <f t="shared" si="79"/>
        <v>0</v>
      </c>
      <c r="J245" s="2"/>
      <c r="K245" s="189"/>
      <c r="L245" s="2"/>
      <c r="M245" s="2"/>
      <c r="S245" s="523"/>
      <c r="T245" s="523"/>
      <c r="U245" s="523"/>
      <c r="V245" s="523"/>
      <c r="Y245" s="524"/>
    </row>
    <row r="246" spans="1:25" x14ac:dyDescent="0.3">
      <c r="A246" s="59" t="s">
        <v>466</v>
      </c>
      <c r="B246" s="79" t="str">
        <f>IFERROR(I246/(I$19+I$50+I$81),"-")</f>
        <v>-</v>
      </c>
      <c r="C246" s="495"/>
      <c r="D246" s="325">
        <v>0</v>
      </c>
      <c r="E246" s="325">
        <v>0</v>
      </c>
      <c r="F246" s="325">
        <v>0</v>
      </c>
      <c r="G246" s="325">
        <v>0</v>
      </c>
      <c r="H246" s="196">
        <f t="shared" si="78"/>
        <v>0</v>
      </c>
      <c r="I246" s="231">
        <f t="shared" si="79"/>
        <v>0</v>
      </c>
      <c r="J246" s="2"/>
      <c r="K246" s="204"/>
      <c r="L246" s="2"/>
      <c r="M246" s="2"/>
      <c r="S246" s="523"/>
      <c r="T246" s="523"/>
      <c r="U246" s="523"/>
      <c r="V246" s="523"/>
      <c r="Y246" s="524"/>
    </row>
    <row r="247" spans="1:25" x14ac:dyDescent="0.3">
      <c r="A247" s="116" t="s">
        <v>468</v>
      </c>
      <c r="B247" s="310" t="str">
        <f>IFERROR(I247/(I$20+I$51+I$82),"-")</f>
        <v>-</v>
      </c>
      <c r="C247" s="499"/>
      <c r="D247" s="297">
        <f>SUM(D248:D251)</f>
        <v>0</v>
      </c>
      <c r="E247" s="297">
        <f t="shared" ref="E247:G247" si="81">SUM(E248:E251)</f>
        <v>0</v>
      </c>
      <c r="F247" s="297">
        <f t="shared" si="81"/>
        <v>0</v>
      </c>
      <c r="G247" s="297">
        <f t="shared" si="81"/>
        <v>0</v>
      </c>
      <c r="H247" s="62">
        <f t="shared" si="78"/>
        <v>0</v>
      </c>
      <c r="I247" s="62">
        <f t="shared" si="79"/>
        <v>0</v>
      </c>
      <c r="J247" s="2"/>
      <c r="K247" s="189"/>
      <c r="L247" s="2"/>
      <c r="M247" s="2"/>
      <c r="S247" s="523"/>
      <c r="T247" s="523"/>
      <c r="U247" s="523"/>
      <c r="V247" s="523"/>
      <c r="Y247" s="524"/>
    </row>
    <row r="248" spans="1:25" x14ac:dyDescent="0.3">
      <c r="A248" s="36" t="s">
        <v>463</v>
      </c>
      <c r="B248" s="37" t="str">
        <f>IFERROR(I248/(I$21+I$52+I$83),"-")</f>
        <v>-</v>
      </c>
      <c r="C248" s="497"/>
      <c r="D248" s="320">
        <v>0</v>
      </c>
      <c r="E248" s="320">
        <v>0</v>
      </c>
      <c r="F248" s="320">
        <v>0</v>
      </c>
      <c r="G248" s="320">
        <v>0</v>
      </c>
      <c r="H248" s="520">
        <f t="shared" si="78"/>
        <v>0</v>
      </c>
      <c r="I248" s="39">
        <f t="shared" si="79"/>
        <v>0</v>
      </c>
      <c r="J248" s="2"/>
      <c r="K248" s="188"/>
      <c r="L248" s="2"/>
      <c r="M248" s="2"/>
      <c r="S248" s="523"/>
      <c r="T248" s="523"/>
      <c r="U248" s="523"/>
      <c r="V248" s="523"/>
      <c r="Y248" s="524"/>
    </row>
    <row r="249" spans="1:25" ht="13.15" customHeight="1" x14ac:dyDescent="0.3">
      <c r="A249" s="36" t="s">
        <v>464</v>
      </c>
      <c r="B249" s="37" t="str">
        <f>IFERROR(I249/(I$22+I$53+I$84),"-")</f>
        <v>-</v>
      </c>
      <c r="C249" s="497"/>
      <c r="D249" s="319">
        <v>0</v>
      </c>
      <c r="E249" s="319">
        <v>0</v>
      </c>
      <c r="F249" s="319">
        <v>0</v>
      </c>
      <c r="G249" s="319">
        <v>0</v>
      </c>
      <c r="H249" s="520">
        <f t="shared" si="78"/>
        <v>0</v>
      </c>
      <c r="I249" s="39">
        <f t="shared" si="79"/>
        <v>0</v>
      </c>
      <c r="J249" s="2"/>
      <c r="K249" s="189"/>
      <c r="L249" s="2"/>
      <c r="M249" s="2"/>
      <c r="S249" s="523"/>
      <c r="T249" s="523"/>
      <c r="U249" s="523"/>
      <c r="V249" s="523"/>
      <c r="Y249" s="524"/>
    </row>
    <row r="250" spans="1:25" x14ac:dyDescent="0.3">
      <c r="A250" s="36" t="s">
        <v>465</v>
      </c>
      <c r="B250" s="37" t="str">
        <f>IFERROR(I250/(I$23+I$54+I$85),"-")</f>
        <v>-</v>
      </c>
      <c r="C250" s="497"/>
      <c r="D250" s="319">
        <v>0</v>
      </c>
      <c r="E250" s="319">
        <v>0</v>
      </c>
      <c r="F250" s="319">
        <v>0</v>
      </c>
      <c r="G250" s="319">
        <v>0</v>
      </c>
      <c r="H250" s="520">
        <f t="shared" si="78"/>
        <v>0</v>
      </c>
      <c r="I250" s="39">
        <f t="shared" si="79"/>
        <v>0</v>
      </c>
      <c r="J250" s="2"/>
      <c r="K250" s="189"/>
      <c r="L250" s="2"/>
      <c r="M250" s="2"/>
      <c r="S250" s="523"/>
      <c r="T250" s="523"/>
      <c r="U250" s="523"/>
      <c r="V250" s="523"/>
      <c r="Y250" s="524"/>
    </row>
    <row r="251" spans="1:25" x14ac:dyDescent="0.3">
      <c r="A251" s="36" t="s">
        <v>466</v>
      </c>
      <c r="B251" s="37" t="str">
        <f>IFERROR(I251/(I$24+I$55+I$86),"-")</f>
        <v>-</v>
      </c>
      <c r="C251" s="497"/>
      <c r="D251" s="319">
        <v>0</v>
      </c>
      <c r="E251" s="319">
        <v>0</v>
      </c>
      <c r="F251" s="319">
        <v>0</v>
      </c>
      <c r="G251" s="319">
        <v>0</v>
      </c>
      <c r="H251" s="520">
        <f t="shared" si="78"/>
        <v>0</v>
      </c>
      <c r="I251" s="39">
        <f t="shared" si="79"/>
        <v>0</v>
      </c>
      <c r="J251" s="2"/>
      <c r="K251" s="189"/>
      <c r="L251" s="2"/>
      <c r="M251" s="2"/>
      <c r="S251" s="523"/>
      <c r="T251" s="523"/>
      <c r="U251" s="523"/>
      <c r="V251" s="523"/>
      <c r="Y251" s="524"/>
    </row>
    <row r="252" spans="1:25" x14ac:dyDescent="0.3">
      <c r="A252" s="116" t="s">
        <v>257</v>
      </c>
      <c r="B252" s="310">
        <f>IFERROR(I252/(I$25+I$56+I$87),"-")</f>
        <v>2.4436050617466572E-2</v>
      </c>
      <c r="C252" s="499"/>
      <c r="D252" s="297">
        <f>SUM(D253:D256)</f>
        <v>7347.7610243387999</v>
      </c>
      <c r="E252" s="297">
        <f t="shared" ref="E252:G252" si="82">SUM(E253:E256)</f>
        <v>8300.9372046543922</v>
      </c>
      <c r="F252" s="297">
        <f t="shared" si="82"/>
        <v>11665.768822461834</v>
      </c>
      <c r="G252" s="297">
        <f t="shared" si="82"/>
        <v>14672.155851869134</v>
      </c>
      <c r="H252" s="62">
        <f t="shared" si="78"/>
        <v>10496.655725831039</v>
      </c>
      <c r="I252" s="62">
        <f t="shared" si="79"/>
        <v>41986.622903324154</v>
      </c>
      <c r="J252" s="2"/>
      <c r="K252" s="197"/>
      <c r="L252" s="2"/>
      <c r="M252" s="2"/>
      <c r="S252" s="523"/>
      <c r="T252" s="523"/>
      <c r="U252" s="523"/>
      <c r="V252" s="523"/>
      <c r="Y252" s="524"/>
    </row>
    <row r="253" spans="1:25" x14ac:dyDescent="0.3">
      <c r="A253" s="36" t="s">
        <v>463</v>
      </c>
      <c r="B253" s="37">
        <f>IFERROR(I253/(I$26+I$57+I$88),"-")</f>
        <v>2.2334650194691965E-2</v>
      </c>
      <c r="C253" s="497"/>
      <c r="D253" s="319">
        <v>7347.7610243387999</v>
      </c>
      <c r="E253" s="319">
        <v>6799.3074728001802</v>
      </c>
      <c r="F253" s="319">
        <v>7519.1559952835523</v>
      </c>
      <c r="G253" s="319">
        <v>8128.3728988908751</v>
      </c>
      <c r="H253" s="520">
        <f t="shared" si="78"/>
        <v>7448.6493478283519</v>
      </c>
      <c r="I253" s="39">
        <f t="shared" si="79"/>
        <v>29794.597391313408</v>
      </c>
      <c r="J253" s="2"/>
      <c r="K253" s="189"/>
      <c r="L253" s="2"/>
      <c r="M253" s="2"/>
      <c r="S253" s="523"/>
      <c r="T253" s="523"/>
      <c r="U253" s="523"/>
      <c r="V253" s="523"/>
      <c r="Y253" s="524"/>
    </row>
    <row r="254" spans="1:25" x14ac:dyDescent="0.3">
      <c r="A254" s="36" t="s">
        <v>464</v>
      </c>
      <c r="B254" s="37" t="str">
        <f>IFERROR(I254/(I$27+I$58+I$89),"-")</f>
        <v>-</v>
      </c>
      <c r="C254" s="497"/>
      <c r="D254" s="319">
        <v>0</v>
      </c>
      <c r="E254" s="319">
        <v>0</v>
      </c>
      <c r="F254" s="319">
        <v>0</v>
      </c>
      <c r="G254" s="319">
        <v>0</v>
      </c>
      <c r="H254" s="520">
        <f t="shared" si="78"/>
        <v>0</v>
      </c>
      <c r="I254" s="39">
        <f t="shared" si="79"/>
        <v>0</v>
      </c>
      <c r="J254" s="2"/>
      <c r="K254" s="189"/>
      <c r="L254" s="2"/>
      <c r="M254" s="2"/>
      <c r="S254" s="523"/>
      <c r="T254" s="523"/>
      <c r="U254" s="523"/>
      <c r="V254" s="523"/>
      <c r="Y254" s="524"/>
    </row>
    <row r="255" spans="1:25" x14ac:dyDescent="0.3">
      <c r="A255" s="36" t="s">
        <v>465</v>
      </c>
      <c r="B255" s="37" t="str">
        <f>IFERROR(I255/(I$28+I$59+I$90),"-")</f>
        <v>-</v>
      </c>
      <c r="C255" s="497"/>
      <c r="D255" s="319">
        <v>0</v>
      </c>
      <c r="E255" s="319">
        <v>0</v>
      </c>
      <c r="F255" s="319">
        <v>0</v>
      </c>
      <c r="G255" s="319">
        <v>0</v>
      </c>
      <c r="H255" s="520">
        <f t="shared" si="78"/>
        <v>0</v>
      </c>
      <c r="I255" s="39">
        <f t="shared" si="79"/>
        <v>0</v>
      </c>
      <c r="J255" s="2"/>
      <c r="K255" s="189"/>
      <c r="L255" s="2"/>
      <c r="M255" s="2"/>
      <c r="S255" s="523"/>
      <c r="T255" s="523"/>
      <c r="U255" s="523"/>
      <c r="V255" s="523"/>
      <c r="Y255" s="524"/>
    </row>
    <row r="256" spans="1:25" x14ac:dyDescent="0.3">
      <c r="A256" s="59" t="s">
        <v>466</v>
      </c>
      <c r="B256" s="79">
        <f>IFERROR(I256/(I$29+I$60+I$91),"-")</f>
        <v>3.1732151666405271E-2</v>
      </c>
      <c r="C256" s="495"/>
      <c r="D256" s="325">
        <v>0</v>
      </c>
      <c r="E256" s="325">
        <v>1501.6297318542113</v>
      </c>
      <c r="F256" s="325">
        <v>4146.6128271782818</v>
      </c>
      <c r="G256" s="325">
        <v>6543.7829529782584</v>
      </c>
      <c r="H256" s="196">
        <f t="shared" si="78"/>
        <v>3048.0063780026876</v>
      </c>
      <c r="I256" s="231">
        <f t="shared" si="79"/>
        <v>12192.02551201075</v>
      </c>
      <c r="J256" s="2"/>
      <c r="K256" s="204"/>
      <c r="L256" s="2"/>
      <c r="M256" s="2"/>
      <c r="S256" s="523"/>
      <c r="T256" s="523"/>
      <c r="U256" s="523"/>
      <c r="V256" s="523"/>
      <c r="Y256" s="524"/>
    </row>
    <row r="257" spans="1:25" x14ac:dyDescent="0.3">
      <c r="A257" s="116" t="s">
        <v>259</v>
      </c>
      <c r="B257" s="310">
        <f>IFERROR(I257/(I$30+I$61+I$92),"-")</f>
        <v>0.32835058896656244</v>
      </c>
      <c r="C257" s="499"/>
      <c r="D257" s="297">
        <f>SUM(D258:D261)</f>
        <v>403809.20929720742</v>
      </c>
      <c r="E257" s="297">
        <f t="shared" ref="E257:G257" si="83">SUM(E258:E261)</f>
        <v>63344.307560769128</v>
      </c>
      <c r="F257" s="297">
        <f t="shared" si="83"/>
        <v>285410.70645771438</v>
      </c>
      <c r="G257" s="297">
        <f t="shared" si="83"/>
        <v>28497.884450194673</v>
      </c>
      <c r="H257" s="62">
        <f t="shared" si="78"/>
        <v>195265.52694147138</v>
      </c>
      <c r="I257" s="62">
        <f t="shared" si="79"/>
        <v>781062.10776588554</v>
      </c>
      <c r="J257" s="2"/>
      <c r="K257" s="189"/>
      <c r="L257" s="2"/>
      <c r="M257" s="2"/>
      <c r="S257" s="523"/>
      <c r="T257" s="523"/>
      <c r="U257" s="523"/>
      <c r="V257" s="523"/>
      <c r="Y257" s="524"/>
    </row>
    <row r="258" spans="1:25" x14ac:dyDescent="0.3">
      <c r="A258" s="36" t="s">
        <v>463</v>
      </c>
      <c r="B258" s="37">
        <f>IFERROR(I258/(I$31+I$62+I$93),"-")</f>
        <v>0.14860609001887856</v>
      </c>
      <c r="C258" s="497"/>
      <c r="D258" s="320">
        <v>33650.2693843534</v>
      </c>
      <c r="E258" s="320">
        <v>21609.106510081874</v>
      </c>
      <c r="F258" s="320">
        <v>15187.405784189035</v>
      </c>
      <c r="G258" s="320">
        <v>9370.520402757702</v>
      </c>
      <c r="H258" s="520">
        <f t="shared" si="78"/>
        <v>19954.325520345501</v>
      </c>
      <c r="I258" s="39">
        <f t="shared" si="79"/>
        <v>79817.302081382004</v>
      </c>
      <c r="J258" s="2"/>
      <c r="K258" s="188"/>
      <c r="L258" s="2"/>
      <c r="M258" s="2"/>
      <c r="S258" s="523"/>
      <c r="T258" s="523"/>
      <c r="U258" s="523"/>
      <c r="V258" s="523"/>
      <c r="Y258" s="524"/>
    </row>
    <row r="259" spans="1:25" ht="13.15" customHeight="1" x14ac:dyDescent="0.3">
      <c r="A259" s="36" t="s">
        <v>464</v>
      </c>
      <c r="B259" s="37">
        <f>IFERROR(I259/(I$32+I$63+I$94),"-")</f>
        <v>0.38077237586972734</v>
      </c>
      <c r="C259" s="497"/>
      <c r="D259" s="319">
        <v>370158.939912854</v>
      </c>
      <c r="E259" s="319">
        <v>41735.201050687254</v>
      </c>
      <c r="F259" s="319">
        <v>270223.30067352531</v>
      </c>
      <c r="G259" s="319">
        <v>19127.364047436971</v>
      </c>
      <c r="H259" s="520">
        <f t="shared" si="78"/>
        <v>175311.20142112588</v>
      </c>
      <c r="I259" s="39">
        <f t="shared" si="79"/>
        <v>701244.80568450352</v>
      </c>
      <c r="J259" s="2"/>
      <c r="K259" s="189"/>
      <c r="L259" s="2"/>
      <c r="M259" s="2"/>
      <c r="S259" s="523"/>
      <c r="T259" s="523"/>
      <c r="U259" s="523"/>
      <c r="V259" s="523"/>
      <c r="Y259" s="524"/>
    </row>
    <row r="260" spans="1:25" x14ac:dyDescent="0.3">
      <c r="A260" s="36" t="s">
        <v>465</v>
      </c>
      <c r="B260" s="37" t="str">
        <f>IFERROR(I260/(I$33+I$64+I$95),"-")</f>
        <v>-</v>
      </c>
      <c r="C260" s="497"/>
      <c r="D260" s="319">
        <v>0</v>
      </c>
      <c r="E260" s="319">
        <v>0</v>
      </c>
      <c r="F260" s="319">
        <v>0</v>
      </c>
      <c r="G260" s="319">
        <v>0</v>
      </c>
      <c r="H260" s="520">
        <f t="shared" si="78"/>
        <v>0</v>
      </c>
      <c r="I260" s="39">
        <f t="shared" si="79"/>
        <v>0</v>
      </c>
      <c r="J260" s="2"/>
      <c r="K260" s="189"/>
      <c r="L260" s="2"/>
      <c r="M260" s="2"/>
      <c r="S260" s="523"/>
      <c r="T260" s="523"/>
      <c r="U260" s="523"/>
      <c r="V260" s="523"/>
      <c r="Y260" s="524"/>
    </row>
    <row r="261" spans="1:25" x14ac:dyDescent="0.3">
      <c r="A261" s="36" t="s">
        <v>466</v>
      </c>
      <c r="B261" s="37" t="str">
        <f>IFERROR(I261/(I$34+I$65+I$96),"-")</f>
        <v>-</v>
      </c>
      <c r="C261" s="497"/>
      <c r="D261" s="319">
        <v>0</v>
      </c>
      <c r="E261" s="319">
        <v>0</v>
      </c>
      <c r="F261" s="319">
        <v>0</v>
      </c>
      <c r="G261" s="319">
        <v>0</v>
      </c>
      <c r="H261" s="520">
        <f t="shared" si="78"/>
        <v>0</v>
      </c>
      <c r="I261" s="39">
        <f t="shared" si="79"/>
        <v>0</v>
      </c>
      <c r="J261" s="2"/>
      <c r="K261" s="189"/>
      <c r="L261" s="2"/>
      <c r="M261" s="2"/>
      <c r="S261" s="523"/>
      <c r="T261" s="523"/>
      <c r="U261" s="523"/>
      <c r="V261" s="523"/>
      <c r="Y261" s="524"/>
    </row>
    <row r="262" spans="1:25" x14ac:dyDescent="0.3">
      <c r="A262" s="116" t="s">
        <v>447</v>
      </c>
      <c r="B262" s="310" t="str">
        <f>IFERROR(I262/(I$35+I$66+I$97),"-")</f>
        <v>-</v>
      </c>
      <c r="C262" s="499"/>
      <c r="D262" s="297">
        <f>SUM(D263:D266)</f>
        <v>0</v>
      </c>
      <c r="E262" s="297">
        <f t="shared" ref="E262:G262" si="84">SUM(E263:E266)</f>
        <v>0</v>
      </c>
      <c r="F262" s="297">
        <f t="shared" si="84"/>
        <v>0</v>
      </c>
      <c r="G262" s="297">
        <f t="shared" si="84"/>
        <v>0</v>
      </c>
      <c r="H262" s="62">
        <f t="shared" si="78"/>
        <v>0</v>
      </c>
      <c r="I262" s="62">
        <f t="shared" si="79"/>
        <v>0</v>
      </c>
      <c r="J262" s="2"/>
      <c r="K262" s="197"/>
      <c r="L262" s="2"/>
      <c r="M262" s="2"/>
      <c r="S262" s="523"/>
      <c r="T262" s="523"/>
      <c r="U262" s="523"/>
      <c r="V262" s="523"/>
      <c r="Y262" s="524"/>
    </row>
    <row r="263" spans="1:25" x14ac:dyDescent="0.3">
      <c r="A263" s="36" t="s">
        <v>463</v>
      </c>
      <c r="B263" s="37" t="str">
        <f>IFERROR(I263/(I$36+I$67+I$98),"-")</f>
        <v>-</v>
      </c>
      <c r="C263" s="497"/>
      <c r="D263" s="319">
        <v>0</v>
      </c>
      <c r="E263" s="319">
        <v>0</v>
      </c>
      <c r="F263" s="319">
        <v>0</v>
      </c>
      <c r="G263" s="319">
        <v>0</v>
      </c>
      <c r="H263" s="520">
        <f t="shared" si="78"/>
        <v>0</v>
      </c>
      <c r="I263" s="39">
        <f t="shared" si="79"/>
        <v>0</v>
      </c>
      <c r="J263" s="2"/>
      <c r="K263" s="189"/>
      <c r="L263" s="2"/>
      <c r="M263" s="2"/>
      <c r="S263" s="523"/>
      <c r="T263" s="523"/>
      <c r="U263" s="523"/>
      <c r="V263" s="523"/>
      <c r="Y263" s="524"/>
    </row>
    <row r="264" spans="1:25" x14ac:dyDescent="0.3">
      <c r="A264" s="36" t="s">
        <v>464</v>
      </c>
      <c r="B264" s="37" t="str">
        <f>IFERROR(I264/(I$37+I$68+I$99),"-")</f>
        <v>-</v>
      </c>
      <c r="C264" s="497"/>
      <c r="D264" s="319">
        <v>0</v>
      </c>
      <c r="E264" s="319">
        <v>0</v>
      </c>
      <c r="F264" s="319">
        <v>0</v>
      </c>
      <c r="G264" s="319">
        <v>0</v>
      </c>
      <c r="H264" s="520">
        <f t="shared" si="78"/>
        <v>0</v>
      </c>
      <c r="I264" s="39">
        <f t="shared" si="79"/>
        <v>0</v>
      </c>
      <c r="J264" s="2"/>
      <c r="K264" s="189"/>
      <c r="L264" s="2"/>
      <c r="M264" s="2"/>
      <c r="S264" s="523"/>
      <c r="T264" s="523"/>
      <c r="U264" s="523"/>
      <c r="V264" s="523"/>
      <c r="Y264" s="524"/>
    </row>
    <row r="265" spans="1:25" x14ac:dyDescent="0.3">
      <c r="A265" s="36" t="s">
        <v>465</v>
      </c>
      <c r="B265" s="37" t="str">
        <f>IFERROR(I265/(I$38+I$69+I$100),"-")</f>
        <v>-</v>
      </c>
      <c r="C265" s="497"/>
      <c r="D265" s="319">
        <v>0</v>
      </c>
      <c r="E265" s="319">
        <v>0</v>
      </c>
      <c r="F265" s="319">
        <v>0</v>
      </c>
      <c r="G265" s="319">
        <v>0</v>
      </c>
      <c r="H265" s="520">
        <f t="shared" si="78"/>
        <v>0</v>
      </c>
      <c r="I265" s="39">
        <f t="shared" si="79"/>
        <v>0</v>
      </c>
      <c r="J265" s="2"/>
      <c r="K265" s="189"/>
      <c r="L265" s="2"/>
      <c r="M265" s="2"/>
      <c r="S265" s="523"/>
      <c r="T265" s="523"/>
      <c r="U265" s="523"/>
      <c r="V265" s="523"/>
      <c r="Y265" s="524"/>
    </row>
    <row r="266" spans="1:25" x14ac:dyDescent="0.3">
      <c r="A266" s="59" t="s">
        <v>466</v>
      </c>
      <c r="B266" s="79" t="str">
        <f>IFERROR(I266/(I$39+I$70+I$101),"-")</f>
        <v>-</v>
      </c>
      <c r="C266" s="495"/>
      <c r="D266" s="325">
        <v>0</v>
      </c>
      <c r="E266" s="325">
        <v>0</v>
      </c>
      <c r="F266" s="325">
        <v>0</v>
      </c>
      <c r="G266" s="325">
        <v>0</v>
      </c>
      <c r="H266" s="196">
        <f t="shared" si="78"/>
        <v>0</v>
      </c>
      <c r="I266" s="231">
        <f t="shared" si="79"/>
        <v>0</v>
      </c>
      <c r="J266" s="2"/>
      <c r="K266" s="204"/>
      <c r="L266" s="2"/>
      <c r="M266" s="2"/>
      <c r="S266" s="523"/>
      <c r="T266" s="523"/>
      <c r="U266" s="523"/>
      <c r="V266" s="523"/>
      <c r="Y266" s="524"/>
    </row>
    <row r="267" spans="1:25" x14ac:dyDescent="0.3">
      <c r="A267" s="115" t="s">
        <v>183</v>
      </c>
      <c r="B267" s="53"/>
      <c r="C267" s="474"/>
      <c r="D267" s="223">
        <f t="shared" ref="D267" si="85">D268+D273+D278+D283+D288+D293</f>
        <v>2159506.3617564291</v>
      </c>
      <c r="E267" s="223">
        <f t="shared" ref="E267" si="86">E268+E273+E278+E283+E288+E293</f>
        <v>2152022.0792936492</v>
      </c>
      <c r="F267" s="223">
        <f t="shared" ref="F267:G267" si="87">F268+F273+F278+F283+F288+F293</f>
        <v>2126137.1312688394</v>
      </c>
      <c r="G267" s="223">
        <f t="shared" si="87"/>
        <v>2126776.0891006822</v>
      </c>
      <c r="H267" s="300">
        <f t="shared" si="78"/>
        <v>2141110.4153549001</v>
      </c>
      <c r="I267" s="300">
        <f t="shared" si="79"/>
        <v>8564441.6614196002</v>
      </c>
      <c r="J267" s="2"/>
      <c r="K267" s="462" t="s">
        <v>427</v>
      </c>
      <c r="L267" s="2"/>
      <c r="M267" s="2"/>
      <c r="S267" s="523"/>
      <c r="T267" s="523"/>
      <c r="U267" s="523"/>
      <c r="V267" s="523"/>
      <c r="Y267" s="524"/>
    </row>
    <row r="268" spans="1:25" x14ac:dyDescent="0.3">
      <c r="A268" s="116" t="s">
        <v>258</v>
      </c>
      <c r="B268" s="310">
        <f>IFERROR(I268/(I$10+I$41+I$72),"-")</f>
        <v>0.20090488786102698</v>
      </c>
      <c r="C268" s="499"/>
      <c r="D268" s="297">
        <f>SUM(D269:D272)</f>
        <v>800711.92132025422</v>
      </c>
      <c r="E268" s="297">
        <f>SUM(E269:E272)</f>
        <v>1538911.0287846178</v>
      </c>
      <c r="F268" s="297">
        <f t="shared" ref="F268:G268" si="88">SUM(F269:F272)</f>
        <v>915683.32670047041</v>
      </c>
      <c r="G268" s="297">
        <f t="shared" si="88"/>
        <v>1313804.8305381523</v>
      </c>
      <c r="H268" s="62">
        <f t="shared" si="78"/>
        <v>1142277.7768358737</v>
      </c>
      <c r="I268" s="62">
        <f t="shared" si="79"/>
        <v>4569111.1073434949</v>
      </c>
      <c r="J268" s="2"/>
      <c r="K268" s="189"/>
      <c r="L268" s="2"/>
      <c r="M268" s="2"/>
      <c r="S268" s="523"/>
      <c r="T268" s="523"/>
      <c r="U268" s="523"/>
      <c r="V268" s="523"/>
      <c r="Y268" s="524"/>
    </row>
    <row r="269" spans="1:25" x14ac:dyDescent="0.3">
      <c r="A269" s="36" t="s">
        <v>463</v>
      </c>
      <c r="B269" s="37">
        <f>IFERROR(I269/(I$11+I$42+I$73),"-")</f>
        <v>0.17051497039313612</v>
      </c>
      <c r="C269" s="497"/>
      <c r="D269" s="320">
        <v>221657.80460178759</v>
      </c>
      <c r="E269" s="320">
        <v>169742.55452436666</v>
      </c>
      <c r="F269" s="320">
        <v>157135.65387704418</v>
      </c>
      <c r="G269" s="320">
        <v>68696.556725874441</v>
      </c>
      <c r="H269" s="520">
        <f t="shared" si="78"/>
        <v>154308.14243226821</v>
      </c>
      <c r="I269" s="39">
        <f t="shared" si="79"/>
        <v>617232.56972907286</v>
      </c>
      <c r="J269" s="2"/>
      <c r="K269" s="188"/>
      <c r="L269" s="2"/>
      <c r="M269" s="2"/>
      <c r="S269" s="523"/>
      <c r="T269" s="523"/>
      <c r="U269" s="523"/>
      <c r="V269" s="523"/>
      <c r="Y269" s="524"/>
    </row>
    <row r="270" spans="1:25" ht="13.15" customHeight="1" x14ac:dyDescent="0.3">
      <c r="A270" s="36" t="s">
        <v>464</v>
      </c>
      <c r="B270" s="37">
        <f>IFERROR(I270/(I$12+I$43+I$74),"-")</f>
        <v>0.403992613642431</v>
      </c>
      <c r="C270" s="497"/>
      <c r="D270" s="319">
        <v>364448.39652038307</v>
      </c>
      <c r="E270" s="319">
        <v>1192824.6645743991</v>
      </c>
      <c r="F270" s="319">
        <v>356065.52738575049</v>
      </c>
      <c r="G270" s="319">
        <v>766492.08506339882</v>
      </c>
      <c r="H270" s="520">
        <f t="shared" ref="H270:H301" si="89">IFERROR(AVERAGE(C270:G270),0)</f>
        <v>669957.66838598298</v>
      </c>
      <c r="I270" s="39">
        <f t="shared" ref="I270:I301" si="90">SUM(C270:G270)</f>
        <v>2679830.6735439319</v>
      </c>
      <c r="J270" s="2"/>
      <c r="K270" s="189"/>
      <c r="L270" s="2"/>
      <c r="M270" s="2"/>
      <c r="S270" s="523"/>
      <c r="T270" s="523"/>
      <c r="U270" s="523"/>
      <c r="V270" s="523"/>
      <c r="Y270" s="524"/>
    </row>
    <row r="271" spans="1:25" x14ac:dyDescent="0.3">
      <c r="A271" s="36" t="s">
        <v>465</v>
      </c>
      <c r="B271" s="37">
        <f>IFERROR(I271/(I$13+I$44+I$75),"-")</f>
        <v>0.21637942841426877</v>
      </c>
      <c r="C271" s="497"/>
      <c r="D271" s="319">
        <v>129169.40182516498</v>
      </c>
      <c r="E271" s="319">
        <v>39789.793926137922</v>
      </c>
      <c r="F271" s="319">
        <v>89688.59814555489</v>
      </c>
      <c r="G271" s="319">
        <v>67084.752362124738</v>
      </c>
      <c r="H271" s="520">
        <f t="shared" si="89"/>
        <v>81433.136564745626</v>
      </c>
      <c r="I271" s="39">
        <f t="shared" si="90"/>
        <v>325732.5462589825</v>
      </c>
      <c r="J271" s="2"/>
      <c r="K271" s="189"/>
      <c r="L271" s="2"/>
      <c r="M271" s="2"/>
      <c r="S271" s="523"/>
      <c r="T271" s="523"/>
      <c r="U271" s="523"/>
      <c r="V271" s="523"/>
      <c r="Y271" s="524"/>
    </row>
    <row r="272" spans="1:25" x14ac:dyDescent="0.3">
      <c r="A272" s="36" t="s">
        <v>466</v>
      </c>
      <c r="B272" s="37">
        <f>IFERROR(I272/(I$14+I$45+I$76),"-")</f>
        <v>8.6153187818572216E-2</v>
      </c>
      <c r="C272" s="497"/>
      <c r="D272" s="319">
        <v>85436.318372918569</v>
      </c>
      <c r="E272" s="319">
        <v>136554.01575971401</v>
      </c>
      <c r="F272" s="319">
        <v>312793.54729212087</v>
      </c>
      <c r="G272" s="319">
        <v>411531.43638675433</v>
      </c>
      <c r="H272" s="520">
        <f t="shared" si="89"/>
        <v>236578.82945287693</v>
      </c>
      <c r="I272" s="39">
        <f t="shared" si="90"/>
        <v>946315.31781150773</v>
      </c>
      <c r="J272" s="2"/>
      <c r="K272" s="189"/>
      <c r="L272" s="2"/>
      <c r="M272" s="2"/>
      <c r="R272" s="31"/>
      <c r="S272" s="523"/>
      <c r="T272" s="523"/>
      <c r="U272" s="523"/>
      <c r="V272" s="523"/>
      <c r="Y272" s="524"/>
    </row>
    <row r="273" spans="1:25" x14ac:dyDescent="0.3">
      <c r="A273" s="116" t="s">
        <v>467</v>
      </c>
      <c r="B273" s="310">
        <f>IFERROR(I273/(I$15+I$46+I$77),"-")</f>
        <v>0.28128032852869578</v>
      </c>
      <c r="C273" s="499"/>
      <c r="D273" s="297">
        <f>SUM(D274:D277)</f>
        <v>784804.69693862472</v>
      </c>
      <c r="E273" s="297">
        <f t="shared" ref="E273:G273" si="91">SUM(E274:E277)</f>
        <v>546762.74858206825</v>
      </c>
      <c r="F273" s="297">
        <f t="shared" si="91"/>
        <v>834669.61138763221</v>
      </c>
      <c r="G273" s="297">
        <f t="shared" si="91"/>
        <v>783911.50802956393</v>
      </c>
      <c r="H273" s="62">
        <f t="shared" si="89"/>
        <v>737537.14123447228</v>
      </c>
      <c r="I273" s="62">
        <f t="shared" si="90"/>
        <v>2950148.5649378891</v>
      </c>
      <c r="J273" s="2"/>
      <c r="K273" s="197"/>
      <c r="L273" s="2"/>
      <c r="M273" s="2"/>
      <c r="S273" s="523"/>
      <c r="T273" s="523"/>
      <c r="U273" s="523"/>
      <c r="V273" s="523"/>
      <c r="Y273" s="524"/>
    </row>
    <row r="274" spans="1:25" x14ac:dyDescent="0.3">
      <c r="A274" s="36" t="s">
        <v>463</v>
      </c>
      <c r="B274" s="37" t="str">
        <f>IFERROR(I274/(I$16+I$47+I$78),"-")</f>
        <v>-</v>
      </c>
      <c r="C274" s="497"/>
      <c r="D274" s="319">
        <v>0</v>
      </c>
      <c r="E274" s="319">
        <v>0</v>
      </c>
      <c r="F274" s="319">
        <v>0</v>
      </c>
      <c r="G274" s="319">
        <v>0</v>
      </c>
      <c r="H274" s="520">
        <f t="shared" si="89"/>
        <v>0</v>
      </c>
      <c r="I274" s="39">
        <f t="shared" si="90"/>
        <v>0</v>
      </c>
      <c r="J274" s="2"/>
      <c r="K274" s="189"/>
      <c r="L274" s="2"/>
      <c r="M274" s="2"/>
      <c r="S274" s="523"/>
      <c r="T274" s="523"/>
      <c r="U274" s="523"/>
      <c r="V274" s="523"/>
      <c r="Y274" s="524"/>
    </row>
    <row r="275" spans="1:25" x14ac:dyDescent="0.3">
      <c r="A275" s="36" t="s">
        <v>464</v>
      </c>
      <c r="B275" s="37">
        <f>IFERROR(I275/(I$17+I$48+I$79),"-")</f>
        <v>0.28128032852869578</v>
      </c>
      <c r="C275" s="497"/>
      <c r="D275" s="319">
        <v>784804.69693862472</v>
      </c>
      <c r="E275" s="319">
        <v>546762.74858206825</v>
      </c>
      <c r="F275" s="319">
        <v>834669.61138763221</v>
      </c>
      <c r="G275" s="319">
        <v>783911.50802956393</v>
      </c>
      <c r="H275" s="520">
        <f t="shared" si="89"/>
        <v>737537.14123447228</v>
      </c>
      <c r="I275" s="39">
        <f t="shared" si="90"/>
        <v>2950148.5649378891</v>
      </c>
      <c r="J275" s="2"/>
      <c r="K275" s="189"/>
      <c r="L275" s="2"/>
      <c r="M275" s="2"/>
      <c r="S275" s="523"/>
      <c r="T275" s="523"/>
      <c r="U275" s="523"/>
      <c r="V275" s="523"/>
      <c r="Y275" s="524"/>
    </row>
    <row r="276" spans="1:25" x14ac:dyDescent="0.3">
      <c r="A276" s="36" t="s">
        <v>465</v>
      </c>
      <c r="B276" s="37" t="str">
        <f>IFERROR(I276/(I$18+I$49+I$80),"-")</f>
        <v>-</v>
      </c>
      <c r="C276" s="497"/>
      <c r="D276" s="319">
        <v>0</v>
      </c>
      <c r="E276" s="319">
        <v>0</v>
      </c>
      <c r="F276" s="319">
        <v>0</v>
      </c>
      <c r="G276" s="319">
        <v>0</v>
      </c>
      <c r="H276" s="520">
        <f t="shared" si="89"/>
        <v>0</v>
      </c>
      <c r="I276" s="39">
        <f t="shared" si="90"/>
        <v>0</v>
      </c>
      <c r="J276" s="2"/>
      <c r="K276" s="189"/>
      <c r="L276" s="2"/>
      <c r="M276" s="2"/>
      <c r="S276" s="523"/>
      <c r="T276" s="523"/>
      <c r="U276" s="523"/>
      <c r="V276" s="523"/>
      <c r="Y276" s="524"/>
    </row>
    <row r="277" spans="1:25" x14ac:dyDescent="0.3">
      <c r="A277" s="59" t="s">
        <v>466</v>
      </c>
      <c r="B277" s="79" t="str">
        <f>IFERROR(I277/(I$19+I$50+I$81),"-")</f>
        <v>-</v>
      </c>
      <c r="C277" s="495"/>
      <c r="D277" s="325">
        <v>0</v>
      </c>
      <c r="E277" s="325">
        <v>0</v>
      </c>
      <c r="F277" s="325">
        <v>0</v>
      </c>
      <c r="G277" s="325">
        <v>0</v>
      </c>
      <c r="H277" s="196">
        <f t="shared" si="89"/>
        <v>0</v>
      </c>
      <c r="I277" s="231">
        <f t="shared" si="90"/>
        <v>0</v>
      </c>
      <c r="J277" s="2"/>
      <c r="K277" s="204"/>
      <c r="L277" s="2"/>
      <c r="M277" s="2"/>
      <c r="S277" s="523"/>
      <c r="T277" s="523"/>
      <c r="U277" s="523"/>
      <c r="V277" s="523"/>
      <c r="Y277" s="524"/>
    </row>
    <row r="278" spans="1:25" x14ac:dyDescent="0.3">
      <c r="A278" s="116" t="s">
        <v>468</v>
      </c>
      <c r="B278" s="310" t="str">
        <f>IFERROR(I278/(I$20+I$51+I$82),"-")</f>
        <v>-</v>
      </c>
      <c r="C278" s="499"/>
      <c r="D278" s="297">
        <f>SUM(D279:D282)</f>
        <v>0</v>
      </c>
      <c r="E278" s="297">
        <f t="shared" ref="E278:G278" si="92">SUM(E279:E282)</f>
        <v>0</v>
      </c>
      <c r="F278" s="297">
        <f t="shared" si="92"/>
        <v>0</v>
      </c>
      <c r="G278" s="297">
        <f t="shared" si="92"/>
        <v>0</v>
      </c>
      <c r="H278" s="62">
        <f t="shared" si="89"/>
        <v>0</v>
      </c>
      <c r="I278" s="62">
        <f t="shared" si="90"/>
        <v>0</v>
      </c>
      <c r="J278" s="2"/>
      <c r="K278" s="189"/>
      <c r="L278" s="2"/>
      <c r="M278" s="2"/>
      <c r="S278" s="523"/>
      <c r="T278" s="523"/>
      <c r="U278" s="523"/>
      <c r="V278" s="523"/>
      <c r="Y278" s="524"/>
    </row>
    <row r="279" spans="1:25" x14ac:dyDescent="0.3">
      <c r="A279" s="36" t="s">
        <v>463</v>
      </c>
      <c r="B279" s="37" t="str">
        <f>IFERROR(I279/(I$21+I$52+I$83),"-")</f>
        <v>-</v>
      </c>
      <c r="C279" s="497"/>
      <c r="D279" s="320">
        <v>0</v>
      </c>
      <c r="E279" s="320">
        <v>0</v>
      </c>
      <c r="F279" s="320">
        <v>0</v>
      </c>
      <c r="G279" s="320">
        <v>0</v>
      </c>
      <c r="H279" s="520">
        <f t="shared" si="89"/>
        <v>0</v>
      </c>
      <c r="I279" s="39">
        <f t="shared" si="90"/>
        <v>0</v>
      </c>
      <c r="J279" s="2"/>
      <c r="K279" s="188"/>
      <c r="L279" s="2"/>
      <c r="M279" s="2"/>
      <c r="S279" s="523"/>
      <c r="T279" s="523"/>
      <c r="U279" s="523"/>
      <c r="V279" s="523"/>
      <c r="Y279" s="524"/>
    </row>
    <row r="280" spans="1:25" ht="13.15" customHeight="1" x14ac:dyDescent="0.3">
      <c r="A280" s="36" t="s">
        <v>464</v>
      </c>
      <c r="B280" s="37" t="str">
        <f>IFERROR(I280/(I$22+I$53+I$84),"-")</f>
        <v>-</v>
      </c>
      <c r="C280" s="497"/>
      <c r="D280" s="319">
        <v>0</v>
      </c>
      <c r="E280" s="319">
        <v>0</v>
      </c>
      <c r="F280" s="319">
        <v>0</v>
      </c>
      <c r="G280" s="319">
        <v>0</v>
      </c>
      <c r="H280" s="520">
        <f t="shared" si="89"/>
        <v>0</v>
      </c>
      <c r="I280" s="39">
        <f t="shared" si="90"/>
        <v>0</v>
      </c>
      <c r="J280" s="2"/>
      <c r="K280" s="189"/>
      <c r="L280" s="2"/>
      <c r="M280" s="2"/>
      <c r="S280" s="523"/>
      <c r="T280" s="523"/>
      <c r="U280" s="523"/>
      <c r="V280" s="523"/>
      <c r="Y280" s="524"/>
    </row>
    <row r="281" spans="1:25" x14ac:dyDescent="0.3">
      <c r="A281" s="36" t="s">
        <v>465</v>
      </c>
      <c r="B281" s="37" t="str">
        <f>IFERROR(I281/(I$23+I$54+I$85),"-")</f>
        <v>-</v>
      </c>
      <c r="C281" s="497"/>
      <c r="D281" s="319">
        <v>0</v>
      </c>
      <c r="E281" s="319">
        <v>0</v>
      </c>
      <c r="F281" s="319">
        <v>0</v>
      </c>
      <c r="G281" s="319">
        <v>0</v>
      </c>
      <c r="H281" s="520">
        <f t="shared" si="89"/>
        <v>0</v>
      </c>
      <c r="I281" s="39">
        <f t="shared" si="90"/>
        <v>0</v>
      </c>
      <c r="J281" s="2"/>
      <c r="K281" s="189"/>
      <c r="L281" s="2"/>
      <c r="M281" s="2"/>
      <c r="S281" s="523"/>
      <c r="T281" s="523"/>
      <c r="U281" s="523"/>
      <c r="V281" s="523"/>
      <c r="Y281" s="524"/>
    </row>
    <row r="282" spans="1:25" x14ac:dyDescent="0.3">
      <c r="A282" s="36" t="s">
        <v>466</v>
      </c>
      <c r="B282" s="37" t="str">
        <f>IFERROR(I282/(I$24+I$55+I$86),"-")</f>
        <v>-</v>
      </c>
      <c r="C282" s="497"/>
      <c r="D282" s="319">
        <v>0</v>
      </c>
      <c r="E282" s="319">
        <v>0</v>
      </c>
      <c r="F282" s="319">
        <v>0</v>
      </c>
      <c r="G282" s="319">
        <v>0</v>
      </c>
      <c r="H282" s="520">
        <f t="shared" si="89"/>
        <v>0</v>
      </c>
      <c r="I282" s="39">
        <f t="shared" si="90"/>
        <v>0</v>
      </c>
      <c r="J282" s="2"/>
      <c r="K282" s="189"/>
      <c r="L282" s="2"/>
      <c r="M282" s="2"/>
      <c r="S282" s="523"/>
      <c r="T282" s="523"/>
      <c r="U282" s="523"/>
      <c r="V282" s="523"/>
      <c r="Y282" s="524"/>
    </row>
    <row r="283" spans="1:25" x14ac:dyDescent="0.3">
      <c r="A283" s="116" t="s">
        <v>257</v>
      </c>
      <c r="B283" s="310">
        <f>IFERROR(I283/(I$25+I$56+I$87),"-")</f>
        <v>9.050782383315718E-3</v>
      </c>
      <c r="C283" s="499"/>
      <c r="D283" s="297">
        <f>SUM(D284:D287)</f>
        <v>1558.2072507111643</v>
      </c>
      <c r="E283" s="297">
        <f t="shared" ref="E283:G283" si="93">SUM(E284:E287)</f>
        <v>1548.7348781021096</v>
      </c>
      <c r="F283" s="297">
        <f t="shared" si="93"/>
        <v>5628.693033860819</v>
      </c>
      <c r="G283" s="297">
        <f t="shared" si="93"/>
        <v>6815.6416314858852</v>
      </c>
      <c r="H283" s="62">
        <f t="shared" si="89"/>
        <v>3887.8191985399944</v>
      </c>
      <c r="I283" s="62">
        <f t="shared" si="90"/>
        <v>15551.276794159978</v>
      </c>
      <c r="J283" s="2"/>
      <c r="K283" s="197"/>
      <c r="L283" s="2"/>
      <c r="M283" s="2"/>
      <c r="S283" s="523"/>
      <c r="T283" s="523"/>
      <c r="U283" s="523"/>
      <c r="V283" s="523"/>
      <c r="Y283" s="524"/>
    </row>
    <row r="284" spans="1:25" x14ac:dyDescent="0.3">
      <c r="A284" s="36" t="s">
        <v>463</v>
      </c>
      <c r="B284" s="37">
        <f>IFERROR(I284/(I$26+I$57+I$88),"-")</f>
        <v>4.2136308255204293E-3</v>
      </c>
      <c r="C284" s="497"/>
      <c r="D284" s="319">
        <v>1558.2072507111643</v>
      </c>
      <c r="E284" s="319">
        <v>604.28271856088566</v>
      </c>
      <c r="F284" s="319">
        <v>1656.1574867335892</v>
      </c>
      <c r="G284" s="319">
        <v>1802.3688978500077</v>
      </c>
      <c r="H284" s="520">
        <f t="shared" si="89"/>
        <v>1405.2540884639118</v>
      </c>
      <c r="I284" s="39">
        <f t="shared" si="90"/>
        <v>5621.0163538556471</v>
      </c>
      <c r="J284" s="2"/>
      <c r="K284" s="189"/>
      <c r="L284" s="2"/>
      <c r="M284" s="2"/>
      <c r="S284" s="523"/>
      <c r="T284" s="523"/>
      <c r="U284" s="523"/>
      <c r="V284" s="523"/>
      <c r="Y284" s="524"/>
    </row>
    <row r="285" spans="1:25" x14ac:dyDescent="0.3">
      <c r="A285" s="36" t="s">
        <v>464</v>
      </c>
      <c r="B285" s="37" t="str">
        <f>IFERROR(I285/(I$27+I$58+I$89),"-")</f>
        <v>-</v>
      </c>
      <c r="C285" s="497"/>
      <c r="D285" s="319">
        <v>0</v>
      </c>
      <c r="E285" s="319">
        <v>0</v>
      </c>
      <c r="F285" s="319">
        <v>0</v>
      </c>
      <c r="G285" s="319">
        <v>0</v>
      </c>
      <c r="H285" s="520">
        <f t="shared" si="89"/>
        <v>0</v>
      </c>
      <c r="I285" s="39">
        <f t="shared" si="90"/>
        <v>0</v>
      </c>
      <c r="J285" s="2"/>
      <c r="K285" s="189"/>
      <c r="L285" s="2"/>
      <c r="M285" s="2"/>
      <c r="S285" s="523"/>
      <c r="T285" s="523"/>
      <c r="U285" s="523"/>
      <c r="V285" s="523"/>
      <c r="Y285" s="524"/>
    </row>
    <row r="286" spans="1:25" x14ac:dyDescent="0.3">
      <c r="A286" s="36" t="s">
        <v>465</v>
      </c>
      <c r="B286" s="37" t="str">
        <f>IFERROR(I286/(I$28+I$59+I$90),"-")</f>
        <v>-</v>
      </c>
      <c r="C286" s="497"/>
      <c r="D286" s="319">
        <v>0</v>
      </c>
      <c r="E286" s="319">
        <v>0</v>
      </c>
      <c r="F286" s="319">
        <v>0</v>
      </c>
      <c r="G286" s="319">
        <v>0</v>
      </c>
      <c r="H286" s="520">
        <f t="shared" si="89"/>
        <v>0</v>
      </c>
      <c r="I286" s="39">
        <f t="shared" si="90"/>
        <v>0</v>
      </c>
      <c r="J286" s="2"/>
      <c r="K286" s="189"/>
      <c r="L286" s="2"/>
      <c r="M286" s="2"/>
      <c r="S286" s="523"/>
      <c r="T286" s="523"/>
      <c r="U286" s="523"/>
      <c r="V286" s="523"/>
      <c r="Y286" s="524"/>
    </row>
    <row r="287" spans="1:25" x14ac:dyDescent="0.3">
      <c r="A287" s="59" t="s">
        <v>466</v>
      </c>
      <c r="B287" s="79">
        <f>IFERROR(I287/(I$29+I$60+I$91),"-")</f>
        <v>2.5845461860969535E-2</v>
      </c>
      <c r="C287" s="495"/>
      <c r="D287" s="325">
        <v>0</v>
      </c>
      <c r="E287" s="325">
        <v>944.45215954122386</v>
      </c>
      <c r="F287" s="325">
        <v>3972.5355471272301</v>
      </c>
      <c r="G287" s="325">
        <v>5013.2727336358776</v>
      </c>
      <c r="H287" s="196">
        <f t="shared" si="89"/>
        <v>2482.5651100760829</v>
      </c>
      <c r="I287" s="231">
        <f t="shared" si="90"/>
        <v>9930.2604403043315</v>
      </c>
      <c r="J287" s="2"/>
      <c r="K287" s="204"/>
      <c r="L287" s="2"/>
      <c r="M287" s="2"/>
      <c r="S287" s="523"/>
      <c r="T287" s="523"/>
      <c r="U287" s="523"/>
      <c r="V287" s="523"/>
      <c r="Y287" s="524"/>
    </row>
    <row r="288" spans="1:25" x14ac:dyDescent="0.3">
      <c r="A288" s="116" t="s">
        <v>259</v>
      </c>
      <c r="B288" s="310">
        <f>IFERROR(I288/(I$30+I$61+I$92),"-")</f>
        <v>0.43284630947372454</v>
      </c>
      <c r="C288" s="499"/>
      <c r="D288" s="297">
        <f>SUM(D289:D292)</f>
        <v>572431.53624683898</v>
      </c>
      <c r="E288" s="297">
        <f t="shared" ref="E288:G288" si="94">SUM(E289:E292)</f>
        <v>64799.567048860859</v>
      </c>
      <c r="F288" s="297">
        <f t="shared" si="94"/>
        <v>370155.50014687591</v>
      </c>
      <c r="G288" s="297">
        <f t="shared" si="94"/>
        <v>22244.108901480402</v>
      </c>
      <c r="H288" s="62">
        <f t="shared" si="89"/>
        <v>257407.67808601406</v>
      </c>
      <c r="I288" s="62">
        <f t="shared" si="90"/>
        <v>1029630.7123440562</v>
      </c>
      <c r="J288" s="2"/>
      <c r="K288" s="189"/>
      <c r="L288" s="2"/>
      <c r="M288" s="2"/>
      <c r="S288" s="523"/>
      <c r="T288" s="523"/>
      <c r="U288" s="523"/>
      <c r="V288" s="523"/>
      <c r="Y288" s="524"/>
    </row>
    <row r="289" spans="1:25" x14ac:dyDescent="0.3">
      <c r="A289" s="36" t="s">
        <v>463</v>
      </c>
      <c r="B289" s="37">
        <f>IFERROR(I289/(I$31+I$62+I$93),"-")</f>
        <v>0.17763348263409748</v>
      </c>
      <c r="C289" s="497"/>
      <c r="D289" s="320">
        <v>45218.632805672729</v>
      </c>
      <c r="E289" s="320">
        <v>22869.924131245971</v>
      </c>
      <c r="F289" s="320">
        <v>18877.283313050713</v>
      </c>
      <c r="G289" s="320">
        <v>8442.264097386158</v>
      </c>
      <c r="H289" s="520">
        <f t="shared" si="89"/>
        <v>23852.026086838894</v>
      </c>
      <c r="I289" s="39">
        <f t="shared" si="90"/>
        <v>95408.104347355576</v>
      </c>
      <c r="J289" s="2"/>
      <c r="K289" s="188"/>
      <c r="L289" s="2"/>
      <c r="M289" s="2"/>
      <c r="S289" s="523"/>
      <c r="T289" s="523"/>
      <c r="U289" s="523"/>
      <c r="V289" s="523"/>
      <c r="Y289" s="524"/>
    </row>
    <row r="290" spans="1:25" ht="13.15" customHeight="1" x14ac:dyDescent="0.3">
      <c r="A290" s="36" t="s">
        <v>464</v>
      </c>
      <c r="B290" s="37">
        <f>IFERROR(I290/(I$32+I$63+I$94),"-")</f>
        <v>0.50727814189066689</v>
      </c>
      <c r="C290" s="497"/>
      <c r="D290" s="319">
        <v>527212.90344116627</v>
      </c>
      <c r="E290" s="319">
        <v>41929.642917614889</v>
      </c>
      <c r="F290" s="319">
        <v>351278.21683382522</v>
      </c>
      <c r="G290" s="319">
        <v>13801.844804094242</v>
      </c>
      <c r="H290" s="520">
        <f t="shared" si="89"/>
        <v>233555.65199917517</v>
      </c>
      <c r="I290" s="39">
        <f t="shared" si="90"/>
        <v>934222.60799670068</v>
      </c>
      <c r="J290" s="2"/>
      <c r="K290" s="189"/>
      <c r="L290" s="2"/>
      <c r="M290" s="2"/>
      <c r="S290" s="523"/>
      <c r="T290" s="523"/>
      <c r="U290" s="523"/>
      <c r="V290" s="523"/>
      <c r="Y290" s="524"/>
    </row>
    <row r="291" spans="1:25" x14ac:dyDescent="0.3">
      <c r="A291" s="36" t="s">
        <v>465</v>
      </c>
      <c r="B291" s="37" t="str">
        <f>IFERROR(I291/(I$33+I$64+I$95),"-")</f>
        <v>-</v>
      </c>
      <c r="C291" s="497"/>
      <c r="D291" s="319">
        <v>0</v>
      </c>
      <c r="E291" s="319">
        <v>0</v>
      </c>
      <c r="F291" s="319">
        <v>0</v>
      </c>
      <c r="G291" s="319">
        <v>0</v>
      </c>
      <c r="H291" s="520">
        <f t="shared" si="89"/>
        <v>0</v>
      </c>
      <c r="I291" s="39">
        <f t="shared" si="90"/>
        <v>0</v>
      </c>
      <c r="J291" s="2"/>
      <c r="K291" s="189"/>
      <c r="L291" s="2"/>
      <c r="M291" s="2"/>
      <c r="S291" s="523"/>
      <c r="T291" s="523"/>
      <c r="U291" s="523"/>
      <c r="V291" s="523"/>
      <c r="Y291" s="524"/>
    </row>
    <row r="292" spans="1:25" x14ac:dyDescent="0.3">
      <c r="A292" s="36" t="s">
        <v>466</v>
      </c>
      <c r="B292" s="37" t="str">
        <f>IFERROR(I292/(I$34+I$65+I$96),"-")</f>
        <v>-</v>
      </c>
      <c r="C292" s="497"/>
      <c r="D292" s="319">
        <v>0</v>
      </c>
      <c r="E292" s="319">
        <v>0</v>
      </c>
      <c r="F292" s="319">
        <v>0</v>
      </c>
      <c r="G292" s="319">
        <v>0</v>
      </c>
      <c r="H292" s="520">
        <f t="shared" si="89"/>
        <v>0</v>
      </c>
      <c r="I292" s="39">
        <f t="shared" si="90"/>
        <v>0</v>
      </c>
      <c r="J292" s="2"/>
      <c r="K292" s="189"/>
      <c r="L292" s="2"/>
      <c r="M292" s="2"/>
      <c r="S292" s="523"/>
      <c r="T292" s="523"/>
      <c r="U292" s="523"/>
      <c r="V292" s="523"/>
      <c r="Y292" s="524"/>
    </row>
    <row r="293" spans="1:25" x14ac:dyDescent="0.3">
      <c r="A293" s="116" t="s">
        <v>447</v>
      </c>
      <c r="B293" s="310" t="str">
        <f>IFERROR(I293/(I$35+I$66+I$97),"-")</f>
        <v>-</v>
      </c>
      <c r="C293" s="499"/>
      <c r="D293" s="297">
        <f>SUM(D294:D297)</f>
        <v>0</v>
      </c>
      <c r="E293" s="297">
        <f t="shared" ref="E293:G293" si="95">SUM(E294:E297)</f>
        <v>0</v>
      </c>
      <c r="F293" s="297">
        <f t="shared" si="95"/>
        <v>0</v>
      </c>
      <c r="G293" s="297">
        <f t="shared" si="95"/>
        <v>0</v>
      </c>
      <c r="H293" s="62">
        <f t="shared" si="89"/>
        <v>0</v>
      </c>
      <c r="I293" s="62">
        <f t="shared" si="90"/>
        <v>0</v>
      </c>
      <c r="J293" s="2"/>
      <c r="K293" s="197"/>
      <c r="L293" s="2"/>
      <c r="M293" s="2"/>
      <c r="S293" s="523"/>
      <c r="T293" s="523"/>
      <c r="U293" s="523"/>
      <c r="V293" s="523"/>
      <c r="Y293" s="524"/>
    </row>
    <row r="294" spans="1:25" x14ac:dyDescent="0.3">
      <c r="A294" s="36" t="s">
        <v>463</v>
      </c>
      <c r="B294" s="37" t="str">
        <f>IFERROR(I294/(I$36+I$67+I$98),"-")</f>
        <v>-</v>
      </c>
      <c r="C294" s="497"/>
      <c r="D294" s="319">
        <v>0</v>
      </c>
      <c r="E294" s="319">
        <v>0</v>
      </c>
      <c r="F294" s="319">
        <v>0</v>
      </c>
      <c r="G294" s="319">
        <v>0</v>
      </c>
      <c r="H294" s="520">
        <f t="shared" si="89"/>
        <v>0</v>
      </c>
      <c r="I294" s="39">
        <f t="shared" si="90"/>
        <v>0</v>
      </c>
      <c r="J294" s="2"/>
      <c r="K294" s="189"/>
      <c r="L294" s="2"/>
      <c r="M294" s="2"/>
      <c r="S294" s="523"/>
      <c r="T294" s="523"/>
      <c r="U294" s="523"/>
      <c r="V294" s="523"/>
      <c r="Y294" s="524"/>
    </row>
    <row r="295" spans="1:25" x14ac:dyDescent="0.3">
      <c r="A295" s="36" t="s">
        <v>464</v>
      </c>
      <c r="B295" s="37" t="str">
        <f>IFERROR(I295/(I$37+I$68+I$99),"-")</f>
        <v>-</v>
      </c>
      <c r="C295" s="497"/>
      <c r="D295" s="319">
        <v>0</v>
      </c>
      <c r="E295" s="319">
        <v>0</v>
      </c>
      <c r="F295" s="319">
        <v>0</v>
      </c>
      <c r="G295" s="319">
        <v>0</v>
      </c>
      <c r="H295" s="520">
        <f t="shared" si="89"/>
        <v>0</v>
      </c>
      <c r="I295" s="39">
        <f t="shared" si="90"/>
        <v>0</v>
      </c>
      <c r="J295" s="2"/>
      <c r="K295" s="189"/>
      <c r="L295" s="2"/>
      <c r="M295" s="2"/>
      <c r="S295" s="523"/>
      <c r="T295" s="523"/>
      <c r="U295" s="523"/>
      <c r="V295" s="523"/>
      <c r="Y295" s="524"/>
    </row>
    <row r="296" spans="1:25" x14ac:dyDescent="0.3">
      <c r="A296" s="36" t="s">
        <v>465</v>
      </c>
      <c r="B296" s="37" t="str">
        <f>IFERROR(I296/(I$38+I$69+I$100),"-")</f>
        <v>-</v>
      </c>
      <c r="C296" s="497"/>
      <c r="D296" s="319">
        <v>0</v>
      </c>
      <c r="E296" s="319">
        <v>0</v>
      </c>
      <c r="F296" s="319">
        <v>0</v>
      </c>
      <c r="G296" s="319">
        <v>0</v>
      </c>
      <c r="H296" s="520">
        <f t="shared" si="89"/>
        <v>0</v>
      </c>
      <c r="I296" s="39">
        <f t="shared" si="90"/>
        <v>0</v>
      </c>
      <c r="J296" s="2"/>
      <c r="K296" s="189"/>
      <c r="L296" s="2"/>
      <c r="M296" s="2"/>
      <c r="S296" s="523"/>
      <c r="T296" s="523"/>
      <c r="U296" s="523"/>
      <c r="V296" s="523"/>
      <c r="Y296" s="524"/>
    </row>
    <row r="297" spans="1:25" x14ac:dyDescent="0.3">
      <c r="A297" s="59" t="s">
        <v>466</v>
      </c>
      <c r="B297" s="79" t="str">
        <f>IFERROR(I297/(I$39+I$70+I$101),"-")</f>
        <v>-</v>
      </c>
      <c r="C297" s="495"/>
      <c r="D297" s="325">
        <v>0</v>
      </c>
      <c r="E297" s="325">
        <v>0</v>
      </c>
      <c r="F297" s="325">
        <v>0</v>
      </c>
      <c r="G297" s="325">
        <v>0</v>
      </c>
      <c r="H297" s="196">
        <f t="shared" si="89"/>
        <v>0</v>
      </c>
      <c r="I297" s="231">
        <f t="shared" si="90"/>
        <v>0</v>
      </c>
      <c r="J297" s="2"/>
      <c r="K297" s="204"/>
      <c r="L297" s="2"/>
      <c r="M297" s="2"/>
      <c r="S297" s="523"/>
      <c r="T297" s="523"/>
      <c r="U297" s="523"/>
      <c r="V297" s="523"/>
      <c r="Y297" s="524"/>
    </row>
    <row r="298" spans="1:25" x14ac:dyDescent="0.3">
      <c r="A298" s="115" t="s">
        <v>426</v>
      </c>
      <c r="B298" s="53"/>
      <c r="C298" s="474"/>
      <c r="D298" s="223">
        <f t="shared" ref="D298" si="96">D299+D304+D309+D314+D319+D324</f>
        <v>332745.67572446505</v>
      </c>
      <c r="E298" s="223">
        <f t="shared" ref="E298" si="97">E299+E304+E309+E314+E319+E324</f>
        <v>427544.54924337752</v>
      </c>
      <c r="F298" s="223">
        <f t="shared" ref="F298:G298" si="98">F299+F304+F309+F314+F319+F324</f>
        <v>361593.69432255614</v>
      </c>
      <c r="G298" s="223">
        <f t="shared" si="98"/>
        <v>514063.7097693925</v>
      </c>
      <c r="H298" s="300">
        <f t="shared" si="89"/>
        <v>408986.90726494777</v>
      </c>
      <c r="I298" s="300">
        <f t="shared" si="90"/>
        <v>1635947.6290597911</v>
      </c>
      <c r="J298" s="2"/>
      <c r="K298" s="189"/>
      <c r="L298" s="2"/>
      <c r="M298" s="2"/>
      <c r="S298" s="523"/>
      <c r="T298" s="523"/>
      <c r="U298" s="523"/>
      <c r="V298" s="523"/>
      <c r="Y298" s="524"/>
    </row>
    <row r="299" spans="1:25" x14ac:dyDescent="0.3">
      <c r="A299" s="116" t="s">
        <v>258</v>
      </c>
      <c r="B299" s="310">
        <f>IFERROR(I299/(I$10+I$41+I$72),"-")</f>
        <v>3.8830539672919981E-2</v>
      </c>
      <c r="C299" s="499"/>
      <c r="D299" s="297">
        <f>SUM(D300:D303)</f>
        <v>120337.93167006095</v>
      </c>
      <c r="E299" s="297">
        <f>SUM(E300:E303)</f>
        <v>302761.59911179374</v>
      </c>
      <c r="F299" s="297">
        <f t="shared" ref="F299:G299" si="99">SUM(F300:F303)</f>
        <v>151597.87382072562</v>
      </c>
      <c r="G299" s="297">
        <f t="shared" si="99"/>
        <v>308412.26989378803</v>
      </c>
      <c r="H299" s="62">
        <f t="shared" si="89"/>
        <v>220777.4186240921</v>
      </c>
      <c r="I299" s="62">
        <f t="shared" si="90"/>
        <v>883109.67449636839</v>
      </c>
      <c r="J299" s="2"/>
      <c r="K299" s="189"/>
      <c r="L299" s="2"/>
      <c r="M299" s="2"/>
      <c r="S299" s="523"/>
      <c r="T299" s="523"/>
      <c r="U299" s="523"/>
      <c r="V299" s="523"/>
      <c r="Y299" s="524"/>
    </row>
    <row r="300" spans="1:25" x14ac:dyDescent="0.3">
      <c r="A300" s="36" t="s">
        <v>463</v>
      </c>
      <c r="B300" s="37">
        <f>IFERROR(I300/(I$11+I$42+I$73),"-")</f>
        <v>3.0070229466844553E-2</v>
      </c>
      <c r="C300" s="497"/>
      <c r="D300" s="320">
        <v>33312.657191770617</v>
      </c>
      <c r="E300" s="320">
        <v>33394.735812443614</v>
      </c>
      <c r="F300" s="320">
        <v>26014.922773603797</v>
      </c>
      <c r="G300" s="320">
        <v>16126.338175386285</v>
      </c>
      <c r="H300" s="520">
        <f t="shared" si="89"/>
        <v>27212.163488301077</v>
      </c>
      <c r="I300" s="39">
        <f t="shared" si="90"/>
        <v>108848.65395320431</v>
      </c>
      <c r="J300" s="2"/>
      <c r="K300" s="188"/>
      <c r="L300" s="2"/>
      <c r="M300" s="2"/>
      <c r="S300" s="523"/>
      <c r="T300" s="523"/>
      <c r="U300" s="523"/>
      <c r="V300" s="523"/>
      <c r="Y300" s="524"/>
    </row>
    <row r="301" spans="1:25" ht="13.15" customHeight="1" x14ac:dyDescent="0.3">
      <c r="A301" s="36" t="s">
        <v>464</v>
      </c>
      <c r="B301" s="37">
        <f>IFERROR(I301/(I$12+I$43+I$74),"-")</f>
        <v>7.964691183907753E-2</v>
      </c>
      <c r="C301" s="497"/>
      <c r="D301" s="319">
        <v>54772.465689557321</v>
      </c>
      <c r="E301" s="319">
        <v>234673.41266099829</v>
      </c>
      <c r="F301" s="319">
        <v>58949.175242755242</v>
      </c>
      <c r="G301" s="319">
        <v>179932.02514957605</v>
      </c>
      <c r="H301" s="520">
        <f t="shared" si="89"/>
        <v>132081.76968572172</v>
      </c>
      <c r="I301" s="39">
        <f t="shared" si="90"/>
        <v>528327.07874288689</v>
      </c>
      <c r="J301" s="2"/>
      <c r="K301" s="189"/>
      <c r="L301" s="2"/>
      <c r="M301" s="2"/>
      <c r="S301" s="523"/>
      <c r="T301" s="523"/>
      <c r="U301" s="523"/>
      <c r="V301" s="523"/>
      <c r="Y301" s="524"/>
    </row>
    <row r="302" spans="1:25" x14ac:dyDescent="0.3">
      <c r="A302" s="36" t="s">
        <v>465</v>
      </c>
      <c r="B302" s="37">
        <f>IFERROR(I302/(I$13+I$44+I$75),"-")</f>
        <v>3.8420549999999998E-2</v>
      </c>
      <c r="C302" s="497"/>
      <c r="D302" s="319">
        <v>19412.697921456758</v>
      </c>
      <c r="E302" s="319">
        <v>7828.146924725369</v>
      </c>
      <c r="F302" s="319">
        <v>14848.583990079782</v>
      </c>
      <c r="G302" s="319">
        <v>15747.971289457621</v>
      </c>
      <c r="H302" s="520">
        <f t="shared" ref="H302:H329" si="100">IFERROR(AVERAGE(C302:G302),0)</f>
        <v>14459.350031429884</v>
      </c>
      <c r="I302" s="39">
        <f t="shared" ref="I302:I328" si="101">SUM(C302:G302)</f>
        <v>57837.400125719534</v>
      </c>
      <c r="J302" s="2"/>
      <c r="K302" s="189"/>
      <c r="L302" s="2"/>
      <c r="M302" s="2"/>
      <c r="S302" s="523"/>
      <c r="T302" s="523"/>
      <c r="U302" s="523"/>
      <c r="V302" s="523"/>
      <c r="Y302" s="524"/>
    </row>
    <row r="303" spans="1:25" x14ac:dyDescent="0.3">
      <c r="A303" s="36" t="s">
        <v>466</v>
      </c>
      <c r="B303" s="37">
        <f>IFERROR(I303/(I$14+I$45+I$76),"-")</f>
        <v>1.7124436620542881E-2</v>
      </c>
      <c r="C303" s="497"/>
      <c r="D303" s="319">
        <v>12840.11086727626</v>
      </c>
      <c r="E303" s="319">
        <v>26865.303713626454</v>
      </c>
      <c r="F303" s="319">
        <v>51785.191814286802</v>
      </c>
      <c r="G303" s="319">
        <v>96605.935279368103</v>
      </c>
      <c r="H303" s="520">
        <f t="shared" si="100"/>
        <v>47024.135418639402</v>
      </c>
      <c r="I303" s="39">
        <f t="shared" si="101"/>
        <v>188096.54167455761</v>
      </c>
      <c r="J303" s="2"/>
      <c r="K303" s="189"/>
      <c r="L303" s="2"/>
      <c r="M303" s="2"/>
      <c r="S303" s="523"/>
      <c r="T303" s="523"/>
      <c r="U303" s="523"/>
      <c r="V303" s="523"/>
      <c r="Y303" s="524"/>
    </row>
    <row r="304" spans="1:25" x14ac:dyDescent="0.3">
      <c r="A304" s="116" t="s">
        <v>467</v>
      </c>
      <c r="B304" s="310">
        <f>IFERROR(I304/(I$15+I$46+I$77),"-")</f>
        <v>5.2222325553658543E-2</v>
      </c>
      <c r="C304" s="499"/>
      <c r="D304" s="297">
        <f>SUM(D305:D308)</f>
        <v>117947.2560353826</v>
      </c>
      <c r="E304" s="297">
        <f t="shared" ref="E304:G304" si="102">SUM(E305:E308)</f>
        <v>107568.76843374365</v>
      </c>
      <c r="F304" s="297">
        <f t="shared" si="102"/>
        <v>138185.47825380141</v>
      </c>
      <c r="G304" s="297">
        <f t="shared" si="102"/>
        <v>184021.18942448162</v>
      </c>
      <c r="H304" s="62">
        <f t="shared" si="100"/>
        <v>136930.67303685233</v>
      </c>
      <c r="I304" s="62">
        <f t="shared" si="101"/>
        <v>547722.69214740931</v>
      </c>
      <c r="J304" s="2"/>
      <c r="K304" s="197"/>
      <c r="L304" s="2"/>
      <c r="M304" s="2"/>
      <c r="S304" s="523"/>
      <c r="T304" s="523"/>
      <c r="U304" s="523"/>
      <c r="V304" s="523"/>
      <c r="Y304" s="524"/>
    </row>
    <row r="305" spans="1:25" x14ac:dyDescent="0.3">
      <c r="A305" s="36" t="s">
        <v>463</v>
      </c>
      <c r="B305" s="37" t="str">
        <f>IFERROR(I305/(I$16+I$47+I$78),"-")</f>
        <v>-</v>
      </c>
      <c r="C305" s="497"/>
      <c r="D305" s="319">
        <v>0</v>
      </c>
      <c r="E305" s="319">
        <v>0</v>
      </c>
      <c r="F305" s="319">
        <v>0</v>
      </c>
      <c r="G305" s="319">
        <v>0</v>
      </c>
      <c r="H305" s="520">
        <f t="shared" si="100"/>
        <v>0</v>
      </c>
      <c r="I305" s="39">
        <f t="shared" si="101"/>
        <v>0</v>
      </c>
      <c r="J305" s="2"/>
      <c r="K305" s="189"/>
      <c r="L305" s="2"/>
      <c r="M305" s="2"/>
      <c r="S305" s="523"/>
      <c r="T305" s="523"/>
      <c r="U305" s="523"/>
      <c r="V305" s="523"/>
      <c r="Y305" s="524"/>
    </row>
    <row r="306" spans="1:25" x14ac:dyDescent="0.3">
      <c r="A306" s="36" t="s">
        <v>464</v>
      </c>
      <c r="B306" s="37">
        <f>IFERROR(I306/(I$17+I$48+I$79),"-")</f>
        <v>5.2222325553658543E-2</v>
      </c>
      <c r="C306" s="497"/>
      <c r="D306" s="319">
        <v>117947.2560353826</v>
      </c>
      <c r="E306" s="319">
        <v>107568.76843374365</v>
      </c>
      <c r="F306" s="319">
        <v>138185.47825380141</v>
      </c>
      <c r="G306" s="319">
        <v>184021.18942448162</v>
      </c>
      <c r="H306" s="520">
        <f t="shared" si="100"/>
        <v>136930.67303685233</v>
      </c>
      <c r="I306" s="39">
        <f t="shared" si="101"/>
        <v>547722.69214740931</v>
      </c>
      <c r="J306" s="2"/>
      <c r="K306" s="189"/>
      <c r="L306" s="2"/>
      <c r="M306" s="2"/>
      <c r="S306" s="523"/>
      <c r="T306" s="523"/>
      <c r="U306" s="523"/>
      <c r="V306" s="523"/>
      <c r="Y306" s="524"/>
    </row>
    <row r="307" spans="1:25" x14ac:dyDescent="0.3">
      <c r="A307" s="36" t="s">
        <v>465</v>
      </c>
      <c r="B307" s="37" t="str">
        <f>IFERROR(I307/(I$18+I$49+I$80),"-")</f>
        <v>-</v>
      </c>
      <c r="C307" s="497"/>
      <c r="D307" s="319">
        <v>0</v>
      </c>
      <c r="E307" s="319">
        <v>0</v>
      </c>
      <c r="F307" s="319">
        <v>0</v>
      </c>
      <c r="G307" s="319">
        <v>0</v>
      </c>
      <c r="H307" s="520">
        <f t="shared" si="100"/>
        <v>0</v>
      </c>
      <c r="I307" s="39">
        <f t="shared" si="101"/>
        <v>0</v>
      </c>
      <c r="J307" s="2"/>
      <c r="K307" s="189"/>
      <c r="L307" s="2"/>
      <c r="M307" s="2"/>
      <c r="S307" s="523"/>
      <c r="T307" s="523"/>
      <c r="U307" s="523"/>
      <c r="V307" s="523"/>
      <c r="Y307" s="524"/>
    </row>
    <row r="308" spans="1:25" x14ac:dyDescent="0.3">
      <c r="A308" s="59" t="s">
        <v>466</v>
      </c>
      <c r="B308" s="79" t="str">
        <f>IFERROR(I308/(I$19+I$50+I$81),"-")</f>
        <v>-</v>
      </c>
      <c r="C308" s="495"/>
      <c r="D308" s="325">
        <v>0</v>
      </c>
      <c r="E308" s="325">
        <v>0</v>
      </c>
      <c r="F308" s="325">
        <v>0</v>
      </c>
      <c r="G308" s="325">
        <v>0</v>
      </c>
      <c r="H308" s="196">
        <f t="shared" si="100"/>
        <v>0</v>
      </c>
      <c r="I308" s="231">
        <f t="shared" si="101"/>
        <v>0</v>
      </c>
      <c r="J308" s="2"/>
      <c r="K308" s="204"/>
      <c r="L308" s="2"/>
      <c r="M308" s="2"/>
      <c r="S308" s="523"/>
      <c r="T308" s="523"/>
      <c r="U308" s="523"/>
      <c r="V308" s="523"/>
      <c r="Y308" s="524"/>
    </row>
    <row r="309" spans="1:25" x14ac:dyDescent="0.3">
      <c r="A309" s="116" t="s">
        <v>468</v>
      </c>
      <c r="B309" s="310" t="str">
        <f>IFERROR(I309/(I$20+I$51+I$82),"-")</f>
        <v>-</v>
      </c>
      <c r="C309" s="499"/>
      <c r="D309" s="297">
        <f>SUM(D310:D313)</f>
        <v>0</v>
      </c>
      <c r="E309" s="297">
        <f t="shared" ref="E309:G309" si="103">SUM(E310:E313)</f>
        <v>0</v>
      </c>
      <c r="F309" s="297">
        <f t="shared" si="103"/>
        <v>0</v>
      </c>
      <c r="G309" s="297">
        <f t="shared" si="103"/>
        <v>0</v>
      </c>
      <c r="H309" s="62">
        <f t="shared" si="100"/>
        <v>0</v>
      </c>
      <c r="I309" s="62">
        <f t="shared" si="101"/>
        <v>0</v>
      </c>
      <c r="J309" s="2"/>
      <c r="K309" s="189"/>
      <c r="L309" s="2"/>
      <c r="M309" s="2"/>
      <c r="S309" s="523"/>
      <c r="T309" s="523"/>
      <c r="U309" s="523"/>
      <c r="V309" s="523"/>
      <c r="Y309" s="524"/>
    </row>
    <row r="310" spans="1:25" x14ac:dyDescent="0.3">
      <c r="A310" s="36" t="s">
        <v>463</v>
      </c>
      <c r="B310" s="37" t="str">
        <f>IFERROR(I310/(I$21+I$52+I$83),"-")</f>
        <v>-</v>
      </c>
      <c r="C310" s="497"/>
      <c r="D310" s="320">
        <v>0</v>
      </c>
      <c r="E310" s="320">
        <v>0</v>
      </c>
      <c r="F310" s="320">
        <v>0</v>
      </c>
      <c r="G310" s="320">
        <v>0</v>
      </c>
      <c r="H310" s="520">
        <f t="shared" si="100"/>
        <v>0</v>
      </c>
      <c r="I310" s="39">
        <f t="shared" si="101"/>
        <v>0</v>
      </c>
      <c r="J310" s="2"/>
      <c r="K310" s="188"/>
      <c r="L310" s="2"/>
      <c r="M310" s="2"/>
      <c r="S310" s="523"/>
      <c r="T310" s="523"/>
      <c r="U310" s="523"/>
      <c r="V310" s="523"/>
      <c r="Y310" s="524"/>
    </row>
    <row r="311" spans="1:25" ht="13.15" customHeight="1" x14ac:dyDescent="0.3">
      <c r="A311" s="36" t="s">
        <v>464</v>
      </c>
      <c r="B311" s="37" t="str">
        <f>IFERROR(I311/(I$22+I$53+I$84),"-")</f>
        <v>-</v>
      </c>
      <c r="C311" s="497"/>
      <c r="D311" s="319">
        <v>0</v>
      </c>
      <c r="E311" s="319">
        <v>0</v>
      </c>
      <c r="F311" s="319">
        <v>0</v>
      </c>
      <c r="G311" s="319">
        <v>0</v>
      </c>
      <c r="H311" s="520">
        <f t="shared" si="100"/>
        <v>0</v>
      </c>
      <c r="I311" s="39">
        <f t="shared" si="101"/>
        <v>0</v>
      </c>
      <c r="J311" s="2"/>
      <c r="K311" s="189"/>
      <c r="L311" s="2"/>
      <c r="M311" s="2"/>
      <c r="S311" s="523"/>
      <c r="T311" s="523"/>
      <c r="U311" s="523"/>
      <c r="V311" s="523"/>
      <c r="Y311" s="524"/>
    </row>
    <row r="312" spans="1:25" x14ac:dyDescent="0.3">
      <c r="A312" s="36" t="s">
        <v>465</v>
      </c>
      <c r="B312" s="37" t="str">
        <f>IFERROR(I312/(I$23+I$54+I$85),"-")</f>
        <v>-</v>
      </c>
      <c r="C312" s="497"/>
      <c r="D312" s="319">
        <v>0</v>
      </c>
      <c r="E312" s="319">
        <v>0</v>
      </c>
      <c r="F312" s="319">
        <v>0</v>
      </c>
      <c r="G312" s="319">
        <v>0</v>
      </c>
      <c r="H312" s="520">
        <f t="shared" si="100"/>
        <v>0</v>
      </c>
      <c r="I312" s="39">
        <f t="shared" si="101"/>
        <v>0</v>
      </c>
      <c r="J312" s="2"/>
      <c r="K312" s="189"/>
      <c r="L312" s="2"/>
      <c r="M312" s="2"/>
      <c r="S312" s="523"/>
      <c r="T312" s="523"/>
      <c r="U312" s="523"/>
      <c r="V312" s="523"/>
      <c r="Y312" s="524"/>
    </row>
    <row r="313" spans="1:25" x14ac:dyDescent="0.3">
      <c r="A313" s="36" t="s">
        <v>466</v>
      </c>
      <c r="B313" s="37" t="str">
        <f>IFERROR(I313/(I$24+I$55+I$86),"-")</f>
        <v>-</v>
      </c>
      <c r="C313" s="497"/>
      <c r="D313" s="319">
        <v>0</v>
      </c>
      <c r="E313" s="319">
        <v>0</v>
      </c>
      <c r="F313" s="319">
        <v>0</v>
      </c>
      <c r="G313" s="319">
        <v>0</v>
      </c>
      <c r="H313" s="520">
        <f t="shared" si="100"/>
        <v>0</v>
      </c>
      <c r="I313" s="39">
        <f t="shared" si="101"/>
        <v>0</v>
      </c>
      <c r="J313" s="2"/>
      <c r="K313" s="189"/>
      <c r="L313" s="2"/>
      <c r="M313" s="2"/>
      <c r="S313" s="523"/>
      <c r="T313" s="523"/>
      <c r="U313" s="523"/>
      <c r="V313" s="523"/>
      <c r="Y313" s="524"/>
    </row>
    <row r="314" spans="1:25" x14ac:dyDescent="0.3">
      <c r="A314" s="116" t="s">
        <v>257</v>
      </c>
      <c r="B314" s="310">
        <f>IFERROR(I314/(I$25+I$56+I$87),"-")</f>
        <v>2.3182744272536231E-2</v>
      </c>
      <c r="C314" s="499"/>
      <c r="D314" s="297">
        <f>SUM(D315:D318)</f>
        <v>8430.5123680050019</v>
      </c>
      <c r="E314" s="297">
        <f t="shared" ref="E314:G314" si="104">SUM(E315:E318)</f>
        <v>4465.6730612106649</v>
      </c>
      <c r="F314" s="297">
        <f t="shared" si="104"/>
        <v>10528.472010733169</v>
      </c>
      <c r="G314" s="297">
        <f t="shared" si="104"/>
        <v>16408.503690411071</v>
      </c>
      <c r="H314" s="62">
        <f t="shared" si="100"/>
        <v>9958.2902825899764</v>
      </c>
      <c r="I314" s="62">
        <f t="shared" si="101"/>
        <v>39833.161130359906</v>
      </c>
      <c r="J314" s="2"/>
      <c r="K314" s="197"/>
      <c r="L314" s="2"/>
      <c r="M314" s="2"/>
      <c r="S314" s="523"/>
      <c r="T314" s="523"/>
      <c r="U314" s="523"/>
      <c r="V314" s="523"/>
      <c r="Y314" s="524"/>
    </row>
    <row r="315" spans="1:25" x14ac:dyDescent="0.3">
      <c r="A315" s="36" t="s">
        <v>463</v>
      </c>
      <c r="B315" s="37">
        <f>IFERROR(I315/(I$26+I$57+I$88),"-")</f>
        <v>2.8345275E-2</v>
      </c>
      <c r="C315" s="497"/>
      <c r="D315" s="319">
        <v>8430.5123680050019</v>
      </c>
      <c r="E315" s="319">
        <v>4279.863848878801</v>
      </c>
      <c r="F315" s="319">
        <v>9870.7905557352042</v>
      </c>
      <c r="G315" s="319">
        <v>15231.650943763801</v>
      </c>
      <c r="H315" s="520">
        <f t="shared" si="100"/>
        <v>9453.2044290957019</v>
      </c>
      <c r="I315" s="39">
        <f t="shared" si="101"/>
        <v>37812.817716382808</v>
      </c>
      <c r="J315" s="2"/>
      <c r="K315" s="189"/>
      <c r="L315" s="2"/>
      <c r="M315" s="2"/>
      <c r="S315" s="523"/>
      <c r="T315" s="523"/>
      <c r="U315" s="523"/>
      <c r="V315" s="523"/>
      <c r="Y315" s="524"/>
    </row>
    <row r="316" spans="1:25" x14ac:dyDescent="0.3">
      <c r="A316" s="36" t="s">
        <v>464</v>
      </c>
      <c r="B316" s="37" t="str">
        <f>IFERROR(I316/(I$27+I$58+I$89),"-")</f>
        <v>-</v>
      </c>
      <c r="C316" s="497"/>
      <c r="D316" s="319">
        <v>0</v>
      </c>
      <c r="E316" s="319">
        <v>0</v>
      </c>
      <c r="F316" s="319">
        <v>0</v>
      </c>
      <c r="G316" s="319">
        <v>0</v>
      </c>
      <c r="H316" s="520">
        <f t="shared" si="100"/>
        <v>0</v>
      </c>
      <c r="I316" s="39">
        <f t="shared" si="101"/>
        <v>0</v>
      </c>
      <c r="J316" s="2"/>
      <c r="K316" s="189"/>
      <c r="L316" s="2"/>
      <c r="M316" s="2"/>
      <c r="S316" s="523"/>
      <c r="T316" s="523"/>
      <c r="U316" s="523"/>
      <c r="V316" s="523"/>
      <c r="Y316" s="524"/>
    </row>
    <row r="317" spans="1:25" x14ac:dyDescent="0.3">
      <c r="A317" s="36" t="s">
        <v>465</v>
      </c>
      <c r="B317" s="37" t="str">
        <f>IFERROR(I317/(I$28+I$59+I$90),"-")</f>
        <v>-</v>
      </c>
      <c r="C317" s="497"/>
      <c r="D317" s="319">
        <v>0</v>
      </c>
      <c r="E317" s="319">
        <v>0</v>
      </c>
      <c r="F317" s="319">
        <v>0</v>
      </c>
      <c r="G317" s="319">
        <v>0</v>
      </c>
      <c r="H317" s="520">
        <f t="shared" si="100"/>
        <v>0</v>
      </c>
      <c r="I317" s="39">
        <f t="shared" si="101"/>
        <v>0</v>
      </c>
      <c r="J317" s="2"/>
      <c r="K317" s="189"/>
      <c r="L317" s="2"/>
      <c r="M317" s="2"/>
      <c r="S317" s="523"/>
      <c r="T317" s="523"/>
      <c r="U317" s="523"/>
      <c r="V317" s="523"/>
      <c r="Y317" s="524"/>
    </row>
    <row r="318" spans="1:25" x14ac:dyDescent="0.3">
      <c r="A318" s="59" t="s">
        <v>466</v>
      </c>
      <c r="B318" s="79">
        <f>IFERROR(I318/(I$29+I$60+I$91),"-")</f>
        <v>5.2583423129641321E-3</v>
      </c>
      <c r="C318" s="495"/>
      <c r="D318" s="325">
        <v>0</v>
      </c>
      <c r="E318" s="325">
        <v>185.80921233186388</v>
      </c>
      <c r="F318" s="325">
        <v>657.68145499796378</v>
      </c>
      <c r="G318" s="325">
        <v>1176.8527466472713</v>
      </c>
      <c r="H318" s="196">
        <f t="shared" si="100"/>
        <v>505.08585349427472</v>
      </c>
      <c r="I318" s="231">
        <f t="shared" si="101"/>
        <v>2020.3434139770989</v>
      </c>
      <c r="J318" s="2"/>
      <c r="K318" s="204"/>
      <c r="L318" s="2"/>
      <c r="M318" s="2"/>
      <c r="S318" s="523"/>
      <c r="T318" s="523"/>
      <c r="U318" s="523"/>
      <c r="V318" s="523"/>
      <c r="Y318" s="524"/>
    </row>
    <row r="319" spans="1:25" x14ac:dyDescent="0.3">
      <c r="A319" s="116" t="s">
        <v>259</v>
      </c>
      <c r="B319" s="310">
        <f>IFERROR(I319/(I$30+I$61+I$92),"-")</f>
        <v>6.9482919172725241E-2</v>
      </c>
      <c r="C319" s="499"/>
      <c r="D319" s="297">
        <f>SUM(D320:D323)</f>
        <v>86029.975651016517</v>
      </c>
      <c r="E319" s="297">
        <f t="shared" ref="E319:G319" si="105">SUM(E320:E323)</f>
        <v>12748.50863662946</v>
      </c>
      <c r="F319" s="297">
        <f t="shared" si="105"/>
        <v>61281.870237295931</v>
      </c>
      <c r="G319" s="297">
        <f t="shared" si="105"/>
        <v>5221.7467607118579</v>
      </c>
      <c r="H319" s="62">
        <f t="shared" si="100"/>
        <v>41320.525321413443</v>
      </c>
      <c r="I319" s="62">
        <f t="shared" si="101"/>
        <v>165282.10128565377</v>
      </c>
      <c r="J319" s="2"/>
      <c r="K319" s="189"/>
      <c r="L319" s="2"/>
      <c r="M319" s="2"/>
      <c r="S319" s="523"/>
      <c r="T319" s="523"/>
      <c r="U319" s="523"/>
      <c r="V319" s="523"/>
      <c r="Y319" s="524"/>
    </row>
    <row r="320" spans="1:25" x14ac:dyDescent="0.3">
      <c r="A320" s="36" t="s">
        <v>463</v>
      </c>
      <c r="B320" s="37">
        <f>IFERROR(I320/(I$31+I$62+I$93),"-")</f>
        <v>3.0538241606444888E-2</v>
      </c>
      <c r="C320" s="497"/>
      <c r="D320" s="320">
        <v>6795.8482943658128</v>
      </c>
      <c r="E320" s="320">
        <v>4499.3730449835639</v>
      </c>
      <c r="F320" s="320">
        <v>3125.2682344690766</v>
      </c>
      <c r="G320" s="320">
        <v>1981.7995586537668</v>
      </c>
      <c r="H320" s="520">
        <f t="shared" si="100"/>
        <v>4100.5722831180547</v>
      </c>
      <c r="I320" s="39">
        <f t="shared" si="101"/>
        <v>16402.289132472219</v>
      </c>
      <c r="J320" s="2"/>
      <c r="K320" s="188"/>
      <c r="L320" s="2"/>
      <c r="M320" s="2"/>
      <c r="S320" s="523"/>
      <c r="T320" s="523"/>
      <c r="U320" s="523"/>
      <c r="V320" s="523"/>
      <c r="Y320" s="524"/>
    </row>
    <row r="321" spans="1:25" ht="13.15" customHeight="1" x14ac:dyDescent="0.3">
      <c r="A321" s="36" t="s">
        <v>464</v>
      </c>
      <c r="B321" s="37">
        <f>IFERROR(I321/(I$32+I$63+I$94),"-")</f>
        <v>8.0840983538223443E-2</v>
      </c>
      <c r="C321" s="497"/>
      <c r="D321" s="319">
        <v>79234.127356650701</v>
      </c>
      <c r="E321" s="319">
        <v>8249.1355916458961</v>
      </c>
      <c r="F321" s="319">
        <v>58156.602002826854</v>
      </c>
      <c r="G321" s="319">
        <v>3239.9472020580911</v>
      </c>
      <c r="H321" s="520">
        <f t="shared" si="100"/>
        <v>37219.953038295389</v>
      </c>
      <c r="I321" s="39">
        <f t="shared" si="101"/>
        <v>148879.81215318156</v>
      </c>
      <c r="J321" s="2"/>
      <c r="K321" s="189"/>
      <c r="L321" s="2"/>
      <c r="M321" s="2"/>
      <c r="S321" s="523"/>
      <c r="T321" s="523"/>
      <c r="U321" s="523"/>
      <c r="V321" s="523"/>
      <c r="Y321" s="524"/>
    </row>
    <row r="322" spans="1:25" x14ac:dyDescent="0.3">
      <c r="A322" s="36" t="s">
        <v>465</v>
      </c>
      <c r="B322" s="37" t="str">
        <f>IFERROR(I322/(I$33+I$64+I$95),"-")</f>
        <v>-</v>
      </c>
      <c r="C322" s="497"/>
      <c r="D322" s="319">
        <v>0</v>
      </c>
      <c r="E322" s="319">
        <v>0</v>
      </c>
      <c r="F322" s="319">
        <v>0</v>
      </c>
      <c r="G322" s="319">
        <v>0</v>
      </c>
      <c r="H322" s="520">
        <f t="shared" si="100"/>
        <v>0</v>
      </c>
      <c r="I322" s="39">
        <f t="shared" si="101"/>
        <v>0</v>
      </c>
      <c r="J322" s="2"/>
      <c r="K322" s="189"/>
      <c r="L322" s="2"/>
      <c r="M322" s="2"/>
      <c r="S322" s="523"/>
      <c r="T322" s="523"/>
      <c r="U322" s="523"/>
      <c r="V322" s="523"/>
      <c r="Y322" s="524"/>
    </row>
    <row r="323" spans="1:25" x14ac:dyDescent="0.3">
      <c r="A323" s="36" t="s">
        <v>466</v>
      </c>
      <c r="B323" s="37" t="str">
        <f>IFERROR(I323/(I$34+I$65+I$96),"-")</f>
        <v>-</v>
      </c>
      <c r="C323" s="497"/>
      <c r="D323" s="319">
        <v>0</v>
      </c>
      <c r="E323" s="319">
        <v>0</v>
      </c>
      <c r="F323" s="319">
        <v>0</v>
      </c>
      <c r="G323" s="319">
        <v>0</v>
      </c>
      <c r="H323" s="520">
        <f t="shared" si="100"/>
        <v>0</v>
      </c>
      <c r="I323" s="39">
        <f t="shared" si="101"/>
        <v>0</v>
      </c>
      <c r="J323" s="2"/>
      <c r="K323" s="189"/>
      <c r="L323" s="2"/>
      <c r="M323" s="2"/>
      <c r="S323" s="523"/>
      <c r="T323" s="523"/>
      <c r="U323" s="523"/>
      <c r="V323" s="523"/>
      <c r="Y323" s="524"/>
    </row>
    <row r="324" spans="1:25" x14ac:dyDescent="0.3">
      <c r="A324" s="116" t="s">
        <v>447</v>
      </c>
      <c r="B324" s="310" t="str">
        <f>IFERROR(I324/(I$35+I$66+I$97),"-")</f>
        <v>-</v>
      </c>
      <c r="C324" s="499"/>
      <c r="D324" s="297">
        <f>SUM(D325:D328)</f>
        <v>0</v>
      </c>
      <c r="E324" s="297">
        <f t="shared" ref="E324:G324" si="106">SUM(E325:E328)</f>
        <v>0</v>
      </c>
      <c r="F324" s="297">
        <f t="shared" si="106"/>
        <v>0</v>
      </c>
      <c r="G324" s="297">
        <f t="shared" si="106"/>
        <v>0</v>
      </c>
      <c r="H324" s="62">
        <f t="shared" si="100"/>
        <v>0</v>
      </c>
      <c r="I324" s="62">
        <f t="shared" si="101"/>
        <v>0</v>
      </c>
      <c r="J324" s="2"/>
      <c r="K324" s="197"/>
      <c r="L324" s="2"/>
      <c r="M324" s="2"/>
      <c r="S324" s="523"/>
      <c r="T324" s="523"/>
      <c r="U324" s="523"/>
      <c r="V324" s="523"/>
      <c r="Y324" s="524"/>
    </row>
    <row r="325" spans="1:25" x14ac:dyDescent="0.3">
      <c r="A325" s="36" t="s">
        <v>463</v>
      </c>
      <c r="B325" s="37" t="str">
        <f>IFERROR(I325/(I$36+I$67+I$98),"-")</f>
        <v>-</v>
      </c>
      <c r="C325" s="497"/>
      <c r="D325" s="319">
        <v>0</v>
      </c>
      <c r="E325" s="319">
        <v>0</v>
      </c>
      <c r="F325" s="319">
        <v>0</v>
      </c>
      <c r="G325" s="319">
        <v>0</v>
      </c>
      <c r="H325" s="520">
        <f t="shared" si="100"/>
        <v>0</v>
      </c>
      <c r="I325" s="39">
        <f t="shared" si="101"/>
        <v>0</v>
      </c>
      <c r="J325" s="2"/>
      <c r="K325" s="189"/>
      <c r="L325" s="2"/>
      <c r="M325" s="2"/>
      <c r="S325" s="523"/>
      <c r="T325" s="523"/>
      <c r="U325" s="523"/>
      <c r="V325" s="523"/>
      <c r="Y325" s="524"/>
    </row>
    <row r="326" spans="1:25" x14ac:dyDescent="0.3">
      <c r="A326" s="36" t="s">
        <v>464</v>
      </c>
      <c r="B326" s="37" t="str">
        <f>IFERROR(I326/(I$37+I$68+I$99),"-")</f>
        <v>-</v>
      </c>
      <c r="C326" s="497"/>
      <c r="D326" s="319">
        <v>0</v>
      </c>
      <c r="E326" s="319">
        <v>0</v>
      </c>
      <c r="F326" s="319">
        <v>0</v>
      </c>
      <c r="G326" s="319">
        <v>0</v>
      </c>
      <c r="H326" s="520">
        <f t="shared" si="100"/>
        <v>0</v>
      </c>
      <c r="I326" s="39">
        <f t="shared" si="101"/>
        <v>0</v>
      </c>
      <c r="J326" s="2"/>
      <c r="K326" s="189"/>
      <c r="L326" s="2"/>
      <c r="M326" s="2"/>
      <c r="S326" s="523"/>
      <c r="T326" s="523"/>
      <c r="U326" s="523"/>
      <c r="V326" s="523"/>
      <c r="Y326" s="524"/>
    </row>
    <row r="327" spans="1:25" x14ac:dyDescent="0.3">
      <c r="A327" s="36" t="s">
        <v>465</v>
      </c>
      <c r="B327" s="37" t="str">
        <f>IFERROR(I327/(I$38+I$69+I$100),"-")</f>
        <v>-</v>
      </c>
      <c r="C327" s="497"/>
      <c r="D327" s="319">
        <v>0</v>
      </c>
      <c r="E327" s="319">
        <v>0</v>
      </c>
      <c r="F327" s="319">
        <v>0</v>
      </c>
      <c r="G327" s="319">
        <v>0</v>
      </c>
      <c r="H327" s="520">
        <f t="shared" si="100"/>
        <v>0</v>
      </c>
      <c r="I327" s="39">
        <f t="shared" si="101"/>
        <v>0</v>
      </c>
      <c r="J327" s="2"/>
      <c r="K327" s="189"/>
      <c r="L327" s="2"/>
      <c r="M327" s="2"/>
      <c r="S327" s="523"/>
      <c r="T327" s="523"/>
      <c r="U327" s="523"/>
      <c r="V327" s="523"/>
      <c r="Y327" s="524"/>
    </row>
    <row r="328" spans="1:25" x14ac:dyDescent="0.3">
      <c r="A328" s="59" t="s">
        <v>466</v>
      </c>
      <c r="B328" s="79" t="str">
        <f>IFERROR(I328/(I$39+I$70+I$101),"-")</f>
        <v>-</v>
      </c>
      <c r="C328" s="495"/>
      <c r="D328" s="325">
        <v>0</v>
      </c>
      <c r="E328" s="325">
        <v>0</v>
      </c>
      <c r="F328" s="325">
        <v>0</v>
      </c>
      <c r="G328" s="325">
        <v>0</v>
      </c>
      <c r="H328" s="196">
        <f t="shared" si="100"/>
        <v>0</v>
      </c>
      <c r="I328" s="231">
        <f t="shared" si="101"/>
        <v>0</v>
      </c>
      <c r="J328" s="2"/>
      <c r="K328" s="204"/>
      <c r="L328" s="2"/>
      <c r="M328" s="2"/>
      <c r="S328" s="523"/>
      <c r="T328" s="523"/>
      <c r="U328" s="523"/>
      <c r="V328" s="523"/>
      <c r="Y328" s="524"/>
    </row>
    <row r="329" spans="1:25" x14ac:dyDescent="0.3">
      <c r="A329" s="18" t="s">
        <v>7</v>
      </c>
      <c r="B329" s="165">
        <f>IFERROR(I329/I$102,"-")</f>
        <v>0.86856164695693361</v>
      </c>
      <c r="C329" s="476"/>
      <c r="D329" s="555">
        <f>D143+D174+D205+D236+D267+D298</f>
        <v>7852107.4201132655</v>
      </c>
      <c r="E329" s="555">
        <f t="shared" ref="E329:G329" si="107">E143+E174+E205+E236+E267+E298</f>
        <v>8244175.0458046161</v>
      </c>
      <c r="F329" s="555">
        <f t="shared" si="107"/>
        <v>7821937.7196813431</v>
      </c>
      <c r="G329" s="555">
        <f t="shared" si="107"/>
        <v>8503373.2439147066</v>
      </c>
      <c r="H329" s="20">
        <f t="shared" si="100"/>
        <v>8105398.3573784828</v>
      </c>
      <c r="I329" s="35">
        <f>SUM(C329:G329)</f>
        <v>32421593.429513931</v>
      </c>
      <c r="J329" s="2"/>
      <c r="K329" s="197"/>
      <c r="L329" s="2"/>
      <c r="M329" s="2"/>
      <c r="S329" s="523"/>
      <c r="T329" s="523"/>
      <c r="U329" s="523"/>
      <c r="V329" s="523"/>
      <c r="Y329" s="524"/>
    </row>
    <row r="330" spans="1:25" x14ac:dyDescent="0.3">
      <c r="C330" s="2"/>
      <c r="D330" s="2"/>
      <c r="E330" s="2"/>
      <c r="F330" s="2"/>
      <c r="G330" s="2"/>
      <c r="H330" s="2"/>
      <c r="I330" s="2"/>
      <c r="J330" s="2"/>
      <c r="K330" s="2"/>
      <c r="L330" s="2"/>
      <c r="M330" s="2"/>
      <c r="S330" s="523"/>
      <c r="T330" s="523"/>
      <c r="U330" s="523"/>
      <c r="V330" s="523"/>
      <c r="Y330" s="524"/>
    </row>
    <row r="331" spans="1:25" x14ac:dyDescent="0.3">
      <c r="C331" s="2"/>
      <c r="D331" s="2"/>
      <c r="E331" s="2"/>
      <c r="F331" s="2"/>
      <c r="G331" s="2"/>
      <c r="H331" s="2"/>
      <c r="I331" s="2"/>
      <c r="J331" s="2"/>
      <c r="K331" s="2"/>
      <c r="L331" s="2"/>
      <c r="M331" s="2"/>
      <c r="S331" s="523"/>
      <c r="T331" s="523"/>
      <c r="U331" s="523"/>
      <c r="V331" s="523"/>
      <c r="Y331" s="524"/>
    </row>
    <row r="332" spans="1:25" ht="27.65" customHeight="1" x14ac:dyDescent="0.3">
      <c r="A332" s="655" t="s">
        <v>337</v>
      </c>
      <c r="B332" s="655" t="s">
        <v>338</v>
      </c>
      <c r="C332" s="3" t="str">
        <f>Annee0</f>
        <v>Année 0</v>
      </c>
      <c r="D332" s="3" t="str">
        <f>Annee1</f>
        <v>Année 1</v>
      </c>
      <c r="E332" s="3" t="str">
        <f>Annee2</f>
        <v>Année 2</v>
      </c>
      <c r="F332" s="3" t="str">
        <f>Annee3</f>
        <v>Année 3</v>
      </c>
      <c r="G332" s="3" t="str">
        <f>Annee4</f>
        <v>Année 4</v>
      </c>
      <c r="H332" s="514" t="s">
        <v>256</v>
      </c>
      <c r="I332" s="4" t="s">
        <v>59</v>
      </c>
      <c r="J332" s="2"/>
      <c r="K332" s="661" t="s">
        <v>290</v>
      </c>
      <c r="L332" s="2"/>
      <c r="M332" s="2"/>
      <c r="S332" s="523"/>
      <c r="T332" s="523"/>
      <c r="U332" s="523"/>
      <c r="V332" s="523"/>
      <c r="Y332" s="524"/>
    </row>
    <row r="333" spans="1:25" ht="14.5" customHeight="1" x14ac:dyDescent="0.3">
      <c r="A333" s="656"/>
      <c r="B333" s="656"/>
      <c r="C333" s="77">
        <v>12</v>
      </c>
      <c r="D333" s="77">
        <v>12</v>
      </c>
      <c r="E333" s="77">
        <v>12</v>
      </c>
      <c r="F333" s="77">
        <v>12</v>
      </c>
      <c r="G333" s="77">
        <v>12</v>
      </c>
      <c r="H333" s="78">
        <f t="shared" ref="H333:H364" si="108">IFERROR(AVERAGE(C333:G333),0)</f>
        <v>12</v>
      </c>
      <c r="I333" s="78">
        <f t="shared" ref="I333:I364" si="109">SUM(C333:G333)</f>
        <v>60</v>
      </c>
      <c r="J333" s="2"/>
      <c r="K333" s="674"/>
      <c r="L333" s="2"/>
      <c r="M333" s="2"/>
      <c r="S333" s="523"/>
      <c r="T333" s="523"/>
      <c r="U333" s="523"/>
      <c r="V333" s="523"/>
      <c r="Y333" s="524"/>
    </row>
    <row r="334" spans="1:25" x14ac:dyDescent="0.3">
      <c r="A334" s="115" t="s">
        <v>68</v>
      </c>
      <c r="B334" s="53"/>
      <c r="C334" s="474"/>
      <c r="D334" s="223">
        <f t="shared" ref="D334" si="110">D335+D340+D345+D350+D355+D360</f>
        <v>650541.64383561653</v>
      </c>
      <c r="E334" s="223">
        <f t="shared" ref="E334" si="111">E335+E340+E345+E350+E355+E360</f>
        <v>650468.49315068498</v>
      </c>
      <c r="F334" s="223">
        <f t="shared" ref="F334:G334" si="112">F335+F340+F345+F350+F355+F360</f>
        <v>650500.87431693985</v>
      </c>
      <c r="G334" s="223">
        <f t="shared" si="112"/>
        <v>652635.89041095902</v>
      </c>
      <c r="H334" s="300">
        <f t="shared" si="108"/>
        <v>651036.72542855004</v>
      </c>
      <c r="I334" s="300">
        <f t="shared" si="109"/>
        <v>2604146.9017142002</v>
      </c>
      <c r="J334" s="2"/>
      <c r="K334" s="462" t="s">
        <v>295</v>
      </c>
      <c r="L334" s="2"/>
      <c r="M334" s="2"/>
      <c r="S334" s="523"/>
      <c r="T334" s="523"/>
      <c r="U334" s="523"/>
      <c r="V334" s="523"/>
      <c r="Y334" s="524"/>
    </row>
    <row r="335" spans="1:25" x14ac:dyDescent="0.3">
      <c r="A335" s="116" t="s">
        <v>258</v>
      </c>
      <c r="B335" s="310">
        <f>IFERROR(I335/I$106,"-")</f>
        <v>3282.0023006909682</v>
      </c>
      <c r="C335" s="499"/>
      <c r="D335" s="297">
        <f>SUM(D336:D339)</f>
        <v>392321.64383561653</v>
      </c>
      <c r="E335" s="297">
        <f>SUM(E336:E339)</f>
        <v>392230.41095890407</v>
      </c>
      <c r="F335" s="297">
        <f t="shared" ref="F335:G335" si="113">SUM(F336:F339)</f>
        <v>392280.87431693991</v>
      </c>
      <c r="G335" s="297">
        <f t="shared" si="113"/>
        <v>394409.86301369866</v>
      </c>
      <c r="H335" s="62">
        <f t="shared" si="108"/>
        <v>392810.69803128979</v>
      </c>
      <c r="I335" s="62">
        <f t="shared" si="109"/>
        <v>1571242.7921251592</v>
      </c>
      <c r="J335" s="2"/>
      <c r="K335" s="189"/>
      <c r="L335" s="2"/>
      <c r="M335" s="2"/>
      <c r="S335" s="523"/>
      <c r="T335" s="523"/>
      <c r="U335" s="523"/>
      <c r="V335" s="523"/>
      <c r="Y335" s="524"/>
    </row>
    <row r="336" spans="1:25" x14ac:dyDescent="0.3">
      <c r="A336" s="36" t="s">
        <v>463</v>
      </c>
      <c r="B336" s="305">
        <f>IFERROR(I336/I$107,"-")</f>
        <v>2538.3622021913025</v>
      </c>
      <c r="C336" s="497"/>
      <c r="D336" s="320">
        <v>92489.863013698632</v>
      </c>
      <c r="E336" s="320">
        <v>67522.465753424651</v>
      </c>
      <c r="F336" s="320">
        <v>45673.770491803283</v>
      </c>
      <c r="G336" s="320">
        <v>24663.287671232876</v>
      </c>
      <c r="H336" s="520">
        <f t="shared" si="108"/>
        <v>57587.346732539867</v>
      </c>
      <c r="I336" s="39">
        <f t="shared" si="109"/>
        <v>230349.38693015947</v>
      </c>
      <c r="J336" s="2"/>
      <c r="K336" s="188"/>
      <c r="L336" s="2"/>
      <c r="M336" s="2"/>
      <c r="S336" s="523"/>
      <c r="T336" s="523"/>
      <c r="U336" s="523"/>
      <c r="V336" s="523"/>
      <c r="Y336" s="524"/>
    </row>
    <row r="337" spans="1:25" ht="13.15" customHeight="1" x14ac:dyDescent="0.3">
      <c r="A337" s="36" t="s">
        <v>464</v>
      </c>
      <c r="B337" s="305">
        <f>IFERROR(I337/I$108,"-")</f>
        <v>3700</v>
      </c>
      <c r="C337" s="497"/>
      <c r="D337" s="319">
        <v>133200</v>
      </c>
      <c r="E337" s="319">
        <v>133200</v>
      </c>
      <c r="F337" s="319">
        <v>133200</v>
      </c>
      <c r="G337" s="319">
        <v>133200</v>
      </c>
      <c r="H337" s="520">
        <f t="shared" si="108"/>
        <v>133200</v>
      </c>
      <c r="I337" s="39">
        <f t="shared" si="109"/>
        <v>532800</v>
      </c>
      <c r="J337" s="2"/>
      <c r="K337" s="189"/>
      <c r="L337" s="2"/>
      <c r="M337" s="2"/>
      <c r="S337" s="523"/>
      <c r="T337" s="523"/>
      <c r="U337" s="523"/>
      <c r="V337" s="523"/>
      <c r="Y337" s="524"/>
    </row>
    <row r="338" spans="1:25" x14ac:dyDescent="0.3">
      <c r="A338" s="36" t="s">
        <v>465</v>
      </c>
      <c r="B338" s="305">
        <f>IFERROR(I338/I$109,"-")</f>
        <v>3264.1095890410961</v>
      </c>
      <c r="C338" s="497"/>
      <c r="D338" s="319">
        <v>22200</v>
      </c>
      <c r="E338" s="319">
        <v>28707.945205479453</v>
      </c>
      <c r="F338" s="319">
        <v>33300</v>
      </c>
      <c r="G338" s="319">
        <v>33300</v>
      </c>
      <c r="H338" s="520">
        <f t="shared" si="108"/>
        <v>29376.986301369863</v>
      </c>
      <c r="I338" s="39">
        <f t="shared" si="109"/>
        <v>117507.94520547945</v>
      </c>
      <c r="J338" s="2"/>
      <c r="K338" s="189"/>
      <c r="L338" s="2"/>
      <c r="M338" s="2"/>
      <c r="S338" s="523"/>
      <c r="T338" s="523"/>
      <c r="U338" s="523"/>
      <c r="V338" s="523"/>
      <c r="Y338" s="524"/>
    </row>
    <row r="339" spans="1:25" x14ac:dyDescent="0.3">
      <c r="A339" s="36" t="s">
        <v>466</v>
      </c>
      <c r="B339" s="305">
        <f>IFERROR(I339/I$110,"-")</f>
        <v>3320.1553822432261</v>
      </c>
      <c r="C339" s="497"/>
      <c r="D339" s="319">
        <v>144431.7808219179</v>
      </c>
      <c r="E339" s="319">
        <v>162800</v>
      </c>
      <c r="F339" s="319">
        <v>180107.10382513661</v>
      </c>
      <c r="G339" s="319">
        <v>203246.57534246577</v>
      </c>
      <c r="H339" s="520">
        <f t="shared" si="108"/>
        <v>172646.36499738006</v>
      </c>
      <c r="I339" s="39">
        <f t="shared" si="109"/>
        <v>690585.45998952026</v>
      </c>
      <c r="J339" s="2"/>
      <c r="K339" s="189"/>
      <c r="L339" s="2"/>
      <c r="M339" s="2"/>
      <c r="S339" s="523"/>
      <c r="T339" s="523"/>
      <c r="U339" s="523"/>
      <c r="V339" s="523"/>
      <c r="Y339" s="524"/>
    </row>
    <row r="340" spans="1:25" x14ac:dyDescent="0.3">
      <c r="A340" s="116" t="s">
        <v>467</v>
      </c>
      <c r="B340" s="310">
        <f>IFERROR(I340/I$111,"-")</f>
        <v>5300</v>
      </c>
      <c r="C340" s="499"/>
      <c r="D340" s="297">
        <f>SUM(D341:D344)</f>
        <v>217300</v>
      </c>
      <c r="E340" s="297">
        <f t="shared" ref="E340:G340" si="114">SUM(E341:E344)</f>
        <v>217300</v>
      </c>
      <c r="F340" s="297">
        <f t="shared" si="114"/>
        <v>217300</v>
      </c>
      <c r="G340" s="297">
        <f t="shared" si="114"/>
        <v>217300</v>
      </c>
      <c r="H340" s="62">
        <f t="shared" si="108"/>
        <v>217300</v>
      </c>
      <c r="I340" s="62">
        <f t="shared" si="109"/>
        <v>869200</v>
      </c>
      <c r="J340" s="2"/>
      <c r="K340" s="197"/>
      <c r="L340" s="2"/>
      <c r="M340" s="2"/>
      <c r="S340" s="523"/>
      <c r="T340" s="523"/>
      <c r="U340" s="523"/>
      <c r="V340" s="523"/>
      <c r="Y340" s="524"/>
    </row>
    <row r="341" spans="1:25" x14ac:dyDescent="0.3">
      <c r="A341" s="36" t="s">
        <v>463</v>
      </c>
      <c r="B341" s="305" t="str">
        <f>IFERROR(I341/I$112,"-")</f>
        <v>-</v>
      </c>
      <c r="C341" s="497"/>
      <c r="D341" s="319">
        <v>0</v>
      </c>
      <c r="E341" s="319">
        <v>0</v>
      </c>
      <c r="F341" s="319">
        <v>0</v>
      </c>
      <c r="G341" s="319">
        <v>0</v>
      </c>
      <c r="H341" s="520">
        <f t="shared" si="108"/>
        <v>0</v>
      </c>
      <c r="I341" s="39">
        <f t="shared" si="109"/>
        <v>0</v>
      </c>
      <c r="J341" s="2"/>
      <c r="K341" s="189"/>
      <c r="L341" s="2"/>
      <c r="M341" s="2"/>
      <c r="S341" s="523"/>
      <c r="T341" s="523"/>
      <c r="U341" s="523"/>
      <c r="V341" s="523"/>
      <c r="Y341" s="524"/>
    </row>
    <row r="342" spans="1:25" x14ac:dyDescent="0.3">
      <c r="A342" s="36" t="s">
        <v>464</v>
      </c>
      <c r="B342" s="305">
        <f>IFERROR(I342/I$113,"-")</f>
        <v>5300</v>
      </c>
      <c r="C342" s="497"/>
      <c r="D342" s="319">
        <v>217300</v>
      </c>
      <c r="E342" s="319">
        <v>217300</v>
      </c>
      <c r="F342" s="319">
        <v>217300</v>
      </c>
      <c r="G342" s="319">
        <v>217300</v>
      </c>
      <c r="H342" s="520">
        <f t="shared" si="108"/>
        <v>217300</v>
      </c>
      <c r="I342" s="39">
        <f t="shared" si="109"/>
        <v>869200</v>
      </c>
      <c r="J342" s="2"/>
      <c r="K342" s="189"/>
      <c r="L342" s="2"/>
      <c r="M342" s="2"/>
      <c r="S342" s="523"/>
      <c r="T342" s="523"/>
      <c r="U342" s="523"/>
      <c r="V342" s="523"/>
      <c r="Y342" s="524"/>
    </row>
    <row r="343" spans="1:25" x14ac:dyDescent="0.3">
      <c r="A343" s="36" t="s">
        <v>465</v>
      </c>
      <c r="B343" s="305" t="str">
        <f>IFERROR(I343/I$114,"-")</f>
        <v>-</v>
      </c>
      <c r="C343" s="497"/>
      <c r="D343" s="319">
        <v>0</v>
      </c>
      <c r="E343" s="319">
        <v>0</v>
      </c>
      <c r="F343" s="319">
        <v>0</v>
      </c>
      <c r="G343" s="319">
        <v>0</v>
      </c>
      <c r="H343" s="520">
        <f t="shared" si="108"/>
        <v>0</v>
      </c>
      <c r="I343" s="39">
        <f t="shared" si="109"/>
        <v>0</v>
      </c>
      <c r="J343" s="2"/>
      <c r="K343" s="189"/>
      <c r="L343" s="2"/>
      <c r="M343" s="2"/>
      <c r="S343" s="523"/>
      <c r="T343" s="523"/>
      <c r="U343" s="523"/>
      <c r="V343" s="523"/>
      <c r="Y343" s="524"/>
    </row>
    <row r="344" spans="1:25" x14ac:dyDescent="0.3">
      <c r="A344" s="59" t="s">
        <v>466</v>
      </c>
      <c r="B344" s="469" t="str">
        <f>IFERROR(I344/I$115,"-")</f>
        <v>-</v>
      </c>
      <c r="C344" s="495"/>
      <c r="D344" s="325">
        <v>0</v>
      </c>
      <c r="E344" s="325">
        <v>0</v>
      </c>
      <c r="F344" s="325">
        <v>0</v>
      </c>
      <c r="G344" s="325">
        <v>0</v>
      </c>
      <c r="H344" s="196">
        <f t="shared" si="108"/>
        <v>0</v>
      </c>
      <c r="I344" s="231">
        <f t="shared" si="109"/>
        <v>0</v>
      </c>
      <c r="J344" s="2"/>
      <c r="K344" s="204"/>
      <c r="L344" s="2"/>
      <c r="M344" s="2"/>
      <c r="S344" s="523"/>
      <c r="T344" s="523"/>
      <c r="U344" s="523"/>
      <c r="V344" s="523"/>
      <c r="Y344" s="524"/>
    </row>
    <row r="345" spans="1:25" x14ac:dyDescent="0.3">
      <c r="A345" s="116" t="s">
        <v>468</v>
      </c>
      <c r="B345" s="310" t="str">
        <f>IFERROR(I345/I$116,"-")</f>
        <v>-</v>
      </c>
      <c r="C345" s="499"/>
      <c r="D345" s="297">
        <f>SUM(D346:D349)</f>
        <v>0</v>
      </c>
      <c r="E345" s="297">
        <f t="shared" ref="E345:G345" si="115">SUM(E346:E349)</f>
        <v>0</v>
      </c>
      <c r="F345" s="297">
        <f t="shared" si="115"/>
        <v>0</v>
      </c>
      <c r="G345" s="297">
        <f t="shared" si="115"/>
        <v>0</v>
      </c>
      <c r="H345" s="62">
        <f t="shared" si="108"/>
        <v>0</v>
      </c>
      <c r="I345" s="62">
        <f t="shared" si="109"/>
        <v>0</v>
      </c>
      <c r="J345" s="2"/>
      <c r="K345" s="189"/>
      <c r="L345" s="2"/>
      <c r="M345" s="2"/>
      <c r="S345" s="523"/>
      <c r="T345" s="523"/>
      <c r="U345" s="523"/>
      <c r="V345" s="523"/>
      <c r="Y345" s="524"/>
    </row>
    <row r="346" spans="1:25" x14ac:dyDescent="0.3">
      <c r="A346" s="36" t="s">
        <v>463</v>
      </c>
      <c r="B346" s="305" t="str">
        <f>IFERROR(I346/I$117,"-")</f>
        <v>-</v>
      </c>
      <c r="C346" s="497"/>
      <c r="D346" s="320">
        <v>0</v>
      </c>
      <c r="E346" s="320">
        <v>0</v>
      </c>
      <c r="F346" s="320">
        <v>0</v>
      </c>
      <c r="G346" s="320">
        <v>0</v>
      </c>
      <c r="H346" s="520">
        <f t="shared" si="108"/>
        <v>0</v>
      </c>
      <c r="I346" s="39">
        <f t="shared" si="109"/>
        <v>0</v>
      </c>
      <c r="J346" s="2"/>
      <c r="K346" s="188"/>
      <c r="L346" s="2"/>
      <c r="M346" s="2"/>
      <c r="S346" s="523"/>
      <c r="T346" s="523"/>
      <c r="U346" s="523"/>
      <c r="V346" s="523"/>
      <c r="Y346" s="524"/>
    </row>
    <row r="347" spans="1:25" ht="13.15" customHeight="1" x14ac:dyDescent="0.3">
      <c r="A347" s="36" t="s">
        <v>464</v>
      </c>
      <c r="B347" s="305" t="str">
        <f>IFERROR(I347/I$118,"-")</f>
        <v>-</v>
      </c>
      <c r="C347" s="497"/>
      <c r="D347" s="319">
        <v>0</v>
      </c>
      <c r="E347" s="319">
        <v>0</v>
      </c>
      <c r="F347" s="319">
        <v>0</v>
      </c>
      <c r="G347" s="319">
        <v>0</v>
      </c>
      <c r="H347" s="520">
        <f t="shared" si="108"/>
        <v>0</v>
      </c>
      <c r="I347" s="39">
        <f t="shared" si="109"/>
        <v>0</v>
      </c>
      <c r="J347" s="2"/>
      <c r="K347" s="189"/>
      <c r="L347" s="2"/>
      <c r="M347" s="2"/>
      <c r="S347" s="523"/>
      <c r="T347" s="523"/>
      <c r="U347" s="523"/>
      <c r="V347" s="523"/>
      <c r="Y347" s="524"/>
    </row>
    <row r="348" spans="1:25" x14ac:dyDescent="0.3">
      <c r="A348" s="36" t="s">
        <v>465</v>
      </c>
      <c r="B348" s="305" t="str">
        <f>IFERROR(I348/I$119,"-")</f>
        <v>-</v>
      </c>
      <c r="C348" s="497"/>
      <c r="D348" s="319">
        <v>0</v>
      </c>
      <c r="E348" s="319">
        <v>0</v>
      </c>
      <c r="F348" s="319">
        <v>0</v>
      </c>
      <c r="G348" s="319">
        <v>0</v>
      </c>
      <c r="H348" s="520">
        <f t="shared" si="108"/>
        <v>0</v>
      </c>
      <c r="I348" s="39">
        <f t="shared" si="109"/>
        <v>0</v>
      </c>
      <c r="J348" s="2"/>
      <c r="K348" s="189"/>
      <c r="L348" s="2"/>
      <c r="M348" s="2"/>
      <c r="S348" s="523"/>
      <c r="T348" s="523"/>
      <c r="U348" s="523"/>
      <c r="V348" s="523"/>
      <c r="Y348" s="524"/>
    </row>
    <row r="349" spans="1:25" x14ac:dyDescent="0.3">
      <c r="A349" s="36" t="s">
        <v>466</v>
      </c>
      <c r="B349" s="305" t="str">
        <f>IFERROR(I349/I$120,"-")</f>
        <v>-</v>
      </c>
      <c r="C349" s="497"/>
      <c r="D349" s="319">
        <v>0</v>
      </c>
      <c r="E349" s="319">
        <v>0</v>
      </c>
      <c r="F349" s="319">
        <v>0</v>
      </c>
      <c r="G349" s="319">
        <v>0</v>
      </c>
      <c r="H349" s="520">
        <f t="shared" si="108"/>
        <v>0</v>
      </c>
      <c r="I349" s="39">
        <f t="shared" si="109"/>
        <v>0</v>
      </c>
      <c r="J349" s="2"/>
      <c r="K349" s="189"/>
      <c r="L349" s="2"/>
      <c r="M349" s="2"/>
      <c r="S349" s="523"/>
      <c r="T349" s="523"/>
      <c r="U349" s="523"/>
      <c r="V349" s="523"/>
      <c r="Y349" s="524"/>
    </row>
    <row r="350" spans="1:25" x14ac:dyDescent="0.3">
      <c r="A350" s="116" t="s">
        <v>257</v>
      </c>
      <c r="B350" s="310">
        <f>IFERROR(I350/I$121,"-")</f>
        <v>1026.3640132288049</v>
      </c>
      <c r="C350" s="499"/>
      <c r="D350" s="297">
        <f>SUM(D351:D354)</f>
        <v>7920</v>
      </c>
      <c r="E350" s="297">
        <f t="shared" ref="E350:G350" si="116">SUM(E351:E354)</f>
        <v>11789.589041095891</v>
      </c>
      <c r="F350" s="297">
        <f t="shared" si="116"/>
        <v>14520</v>
      </c>
      <c r="G350" s="297">
        <f t="shared" si="116"/>
        <v>15809.86301369863</v>
      </c>
      <c r="H350" s="62">
        <f t="shared" si="108"/>
        <v>12509.86301369863</v>
      </c>
      <c r="I350" s="62">
        <f t="shared" si="109"/>
        <v>50039.452054794521</v>
      </c>
      <c r="J350" s="2"/>
      <c r="K350" s="197"/>
      <c r="L350" s="2"/>
      <c r="M350" s="2"/>
      <c r="S350" s="523"/>
      <c r="T350" s="523"/>
      <c r="U350" s="523"/>
      <c r="V350" s="523"/>
      <c r="Y350" s="524"/>
    </row>
    <row r="351" spans="1:25" x14ac:dyDescent="0.3">
      <c r="A351" s="36" t="s">
        <v>463</v>
      </c>
      <c r="B351" s="305">
        <f>IFERROR(I351/I$122,"-")</f>
        <v>720</v>
      </c>
      <c r="C351" s="497"/>
      <c r="D351" s="319">
        <v>7920</v>
      </c>
      <c r="E351" s="319">
        <v>7920</v>
      </c>
      <c r="F351" s="319">
        <v>7920</v>
      </c>
      <c r="G351" s="319">
        <v>7920</v>
      </c>
      <c r="H351" s="520">
        <f t="shared" si="108"/>
        <v>7920</v>
      </c>
      <c r="I351" s="39">
        <f t="shared" si="109"/>
        <v>31680</v>
      </c>
      <c r="J351" s="2"/>
      <c r="K351" s="189"/>
      <c r="L351" s="2"/>
      <c r="M351" s="2"/>
      <c r="S351" s="523"/>
      <c r="T351" s="523"/>
      <c r="U351" s="523"/>
      <c r="V351" s="523"/>
      <c r="Y351" s="524"/>
    </row>
    <row r="352" spans="1:25" x14ac:dyDescent="0.3">
      <c r="A352" s="36" t="s">
        <v>464</v>
      </c>
      <c r="B352" s="305" t="str">
        <f>IFERROR(I352/I$123,"-")</f>
        <v>-</v>
      </c>
      <c r="C352" s="497"/>
      <c r="D352" s="319">
        <v>0</v>
      </c>
      <c r="E352" s="319">
        <v>0</v>
      </c>
      <c r="F352" s="319">
        <v>0</v>
      </c>
      <c r="G352" s="319">
        <v>0</v>
      </c>
      <c r="H352" s="520">
        <f t="shared" si="108"/>
        <v>0</v>
      </c>
      <c r="I352" s="39">
        <f t="shared" si="109"/>
        <v>0</v>
      </c>
      <c r="J352" s="2"/>
      <c r="K352" s="189"/>
      <c r="L352" s="2"/>
      <c r="M352" s="2"/>
      <c r="S352" s="523"/>
      <c r="T352" s="523"/>
      <c r="U352" s="523"/>
      <c r="V352" s="523"/>
      <c r="Y352" s="524"/>
    </row>
    <row r="353" spans="1:25" x14ac:dyDescent="0.3">
      <c r="A353" s="36" t="s">
        <v>465</v>
      </c>
      <c r="B353" s="305" t="str">
        <f>IFERROR(I353/I$124,"-")</f>
        <v>-</v>
      </c>
      <c r="C353" s="497"/>
      <c r="D353" s="319">
        <v>0</v>
      </c>
      <c r="E353" s="319">
        <v>0</v>
      </c>
      <c r="F353" s="319">
        <v>0</v>
      </c>
      <c r="G353" s="319">
        <v>0</v>
      </c>
      <c r="H353" s="520">
        <f t="shared" si="108"/>
        <v>0</v>
      </c>
      <c r="I353" s="39">
        <f t="shared" si="109"/>
        <v>0</v>
      </c>
      <c r="J353" s="2"/>
      <c r="K353" s="189"/>
      <c r="L353" s="2"/>
      <c r="M353" s="2"/>
      <c r="S353" s="523"/>
      <c r="T353" s="523"/>
      <c r="U353" s="523"/>
      <c r="V353" s="523"/>
      <c r="Y353" s="524"/>
    </row>
    <row r="354" spans="1:25" x14ac:dyDescent="0.3">
      <c r="A354" s="59" t="s">
        <v>466</v>
      </c>
      <c r="B354" s="469">
        <f>IFERROR(I354/I$125,"-")</f>
        <v>3861.8157770429857</v>
      </c>
      <c r="C354" s="495"/>
      <c r="D354" s="325">
        <v>0</v>
      </c>
      <c r="E354" s="325">
        <v>3869.5890410958905</v>
      </c>
      <c r="F354" s="325">
        <v>6600</v>
      </c>
      <c r="G354" s="325">
        <v>7889.8630136986303</v>
      </c>
      <c r="H354" s="196">
        <f t="shared" si="108"/>
        <v>4589.8630136986303</v>
      </c>
      <c r="I354" s="231">
        <f t="shared" si="109"/>
        <v>18359.452054794521</v>
      </c>
      <c r="J354" s="2"/>
      <c r="K354" s="204"/>
      <c r="L354" s="2"/>
      <c r="M354" s="2"/>
      <c r="S354" s="523"/>
      <c r="T354" s="523"/>
      <c r="U354" s="523"/>
      <c r="V354" s="523"/>
      <c r="Y354" s="524"/>
    </row>
    <row r="355" spans="1:25" x14ac:dyDescent="0.3">
      <c r="A355" s="116" t="s">
        <v>259</v>
      </c>
      <c r="B355" s="310">
        <f>IFERROR(I355/I$126,"-")</f>
        <v>2057.1262749114494</v>
      </c>
      <c r="C355" s="499"/>
      <c r="D355" s="297">
        <f>SUM(D356:D359)</f>
        <v>33000</v>
      </c>
      <c r="E355" s="297">
        <f t="shared" ref="E355:G355" si="117">SUM(E356:E359)</f>
        <v>29148.493150684932</v>
      </c>
      <c r="F355" s="297">
        <f t="shared" si="117"/>
        <v>26400</v>
      </c>
      <c r="G355" s="297">
        <f t="shared" si="117"/>
        <v>25116.164383561645</v>
      </c>
      <c r="H355" s="62">
        <f t="shared" si="108"/>
        <v>28416.164383561641</v>
      </c>
      <c r="I355" s="62">
        <f t="shared" si="109"/>
        <v>113664.65753424657</v>
      </c>
      <c r="J355" s="2"/>
      <c r="K355" s="189"/>
      <c r="L355" s="2"/>
      <c r="M355" s="2"/>
      <c r="S355" s="523"/>
      <c r="T355" s="523"/>
      <c r="U355" s="523"/>
      <c r="V355" s="523"/>
      <c r="Y355" s="524"/>
    </row>
    <row r="356" spans="1:25" x14ac:dyDescent="0.3">
      <c r="A356" s="36" t="s">
        <v>463</v>
      </c>
      <c r="B356" s="305">
        <f>IFERROR(I356/I$127,"-")</f>
        <v>1682.4762058990234</v>
      </c>
      <c r="C356" s="497"/>
      <c r="D356" s="320">
        <v>11000</v>
      </c>
      <c r="E356" s="320">
        <v>7148.4931506849316</v>
      </c>
      <c r="F356" s="320">
        <v>4400</v>
      </c>
      <c r="G356" s="320">
        <v>3116.1643835616442</v>
      </c>
      <c r="H356" s="520">
        <f t="shared" si="108"/>
        <v>6416.1643835616442</v>
      </c>
      <c r="I356" s="39">
        <f t="shared" si="109"/>
        <v>25664.657534246577</v>
      </c>
      <c r="J356" s="2"/>
      <c r="K356" s="188"/>
      <c r="L356" s="2"/>
      <c r="M356" s="2"/>
      <c r="S356" s="523"/>
      <c r="T356" s="523"/>
      <c r="U356" s="523"/>
      <c r="V356" s="523"/>
      <c r="Y356" s="524"/>
    </row>
    <row r="357" spans="1:25" ht="13.15" customHeight="1" x14ac:dyDescent="0.3">
      <c r="A357" s="36" t="s">
        <v>464</v>
      </c>
      <c r="B357" s="305">
        <f>IFERROR(I357/I$128,"-")</f>
        <v>2200</v>
      </c>
      <c r="C357" s="497"/>
      <c r="D357" s="319">
        <v>22000</v>
      </c>
      <c r="E357" s="319">
        <v>22000</v>
      </c>
      <c r="F357" s="319">
        <v>22000</v>
      </c>
      <c r="G357" s="319">
        <v>22000</v>
      </c>
      <c r="H357" s="520">
        <f t="shared" si="108"/>
        <v>22000</v>
      </c>
      <c r="I357" s="39">
        <f t="shared" si="109"/>
        <v>88000</v>
      </c>
      <c r="J357" s="2"/>
      <c r="K357" s="189"/>
      <c r="L357" s="2"/>
      <c r="M357" s="2"/>
      <c r="S357" s="523"/>
      <c r="T357" s="523"/>
      <c r="U357" s="523"/>
      <c r="V357" s="523"/>
      <c r="Y357" s="524"/>
    </row>
    <row r="358" spans="1:25" x14ac:dyDescent="0.3">
      <c r="A358" s="36" t="s">
        <v>465</v>
      </c>
      <c r="B358" s="305" t="str">
        <f>IFERROR(I358/I$129,"-")</f>
        <v>-</v>
      </c>
      <c r="C358" s="497"/>
      <c r="D358" s="319">
        <v>0</v>
      </c>
      <c r="E358" s="319">
        <v>0</v>
      </c>
      <c r="F358" s="319">
        <v>0</v>
      </c>
      <c r="G358" s="319">
        <v>0</v>
      </c>
      <c r="H358" s="520">
        <f t="shared" si="108"/>
        <v>0</v>
      </c>
      <c r="I358" s="39">
        <f t="shared" si="109"/>
        <v>0</v>
      </c>
      <c r="J358" s="2"/>
      <c r="K358" s="189"/>
      <c r="L358" s="2"/>
      <c r="M358" s="2"/>
      <c r="S358" s="523"/>
      <c r="T358" s="523"/>
      <c r="U358" s="523"/>
      <c r="V358" s="523"/>
      <c r="Y358" s="524"/>
    </row>
    <row r="359" spans="1:25" x14ac:dyDescent="0.3">
      <c r="A359" s="36" t="s">
        <v>466</v>
      </c>
      <c r="B359" s="305" t="str">
        <f>IFERROR(I359/I$130,"-")</f>
        <v>-</v>
      </c>
      <c r="C359" s="497"/>
      <c r="D359" s="319">
        <v>0</v>
      </c>
      <c r="E359" s="319">
        <v>0</v>
      </c>
      <c r="F359" s="319">
        <v>0</v>
      </c>
      <c r="G359" s="319">
        <v>0</v>
      </c>
      <c r="H359" s="520">
        <f t="shared" si="108"/>
        <v>0</v>
      </c>
      <c r="I359" s="39">
        <f t="shared" si="109"/>
        <v>0</v>
      </c>
      <c r="J359" s="2"/>
      <c r="K359" s="189"/>
      <c r="L359" s="2"/>
      <c r="M359" s="2"/>
      <c r="S359" s="523"/>
      <c r="T359" s="523"/>
      <c r="U359" s="523"/>
      <c r="V359" s="523"/>
      <c r="Y359" s="524"/>
    </row>
    <row r="360" spans="1:25" x14ac:dyDescent="0.3">
      <c r="A360" s="116" t="s">
        <v>447</v>
      </c>
      <c r="B360" s="310" t="str">
        <f>IFERROR(I360/I$131,"-")</f>
        <v>-</v>
      </c>
      <c r="C360" s="499"/>
      <c r="D360" s="297">
        <f>SUM(D361:D364)</f>
        <v>0</v>
      </c>
      <c r="E360" s="297">
        <f t="shared" ref="E360:G360" si="118">SUM(E361:E364)</f>
        <v>0</v>
      </c>
      <c r="F360" s="297">
        <f t="shared" si="118"/>
        <v>0</v>
      </c>
      <c r="G360" s="297">
        <f t="shared" si="118"/>
        <v>0</v>
      </c>
      <c r="H360" s="62">
        <f t="shared" si="108"/>
        <v>0</v>
      </c>
      <c r="I360" s="62">
        <f t="shared" si="109"/>
        <v>0</v>
      </c>
      <c r="J360" s="2"/>
      <c r="K360" s="197"/>
      <c r="L360" s="2"/>
      <c r="M360" s="2"/>
      <c r="S360" s="523"/>
      <c r="T360" s="523"/>
      <c r="U360" s="523"/>
      <c r="V360" s="523"/>
      <c r="Y360" s="524"/>
    </row>
    <row r="361" spans="1:25" x14ac:dyDescent="0.3">
      <c r="A361" s="36" t="s">
        <v>463</v>
      </c>
      <c r="B361" s="305" t="str">
        <f>IFERROR(I361/I$132,"-")</f>
        <v>-</v>
      </c>
      <c r="C361" s="497"/>
      <c r="D361" s="319">
        <v>0</v>
      </c>
      <c r="E361" s="319">
        <v>0</v>
      </c>
      <c r="F361" s="319">
        <v>0</v>
      </c>
      <c r="G361" s="319">
        <v>0</v>
      </c>
      <c r="H361" s="520">
        <f t="shared" si="108"/>
        <v>0</v>
      </c>
      <c r="I361" s="39">
        <f t="shared" si="109"/>
        <v>0</v>
      </c>
      <c r="J361" s="2"/>
      <c r="K361" s="189"/>
      <c r="L361" s="2"/>
      <c r="M361" s="2"/>
      <c r="S361" s="523"/>
      <c r="T361" s="523"/>
      <c r="U361" s="523"/>
      <c r="V361" s="523"/>
      <c r="Y361" s="524"/>
    </row>
    <row r="362" spans="1:25" x14ac:dyDescent="0.3">
      <c r="A362" s="36" t="s">
        <v>464</v>
      </c>
      <c r="B362" s="305" t="str">
        <f>IFERROR(I362/I$133,"-")</f>
        <v>-</v>
      </c>
      <c r="C362" s="497"/>
      <c r="D362" s="319">
        <v>0</v>
      </c>
      <c r="E362" s="319">
        <v>0</v>
      </c>
      <c r="F362" s="319">
        <v>0</v>
      </c>
      <c r="G362" s="319">
        <v>0</v>
      </c>
      <c r="H362" s="520">
        <f t="shared" si="108"/>
        <v>0</v>
      </c>
      <c r="I362" s="39">
        <f t="shared" si="109"/>
        <v>0</v>
      </c>
      <c r="J362" s="2"/>
      <c r="K362" s="189"/>
      <c r="L362" s="2"/>
      <c r="M362" s="2"/>
      <c r="S362" s="523"/>
      <c r="T362" s="523"/>
      <c r="U362" s="523"/>
      <c r="V362" s="523"/>
      <c r="Y362" s="524"/>
    </row>
    <row r="363" spans="1:25" x14ac:dyDescent="0.3">
      <c r="A363" s="36" t="s">
        <v>465</v>
      </c>
      <c r="B363" s="305" t="str">
        <f>IFERROR(I363/I$134,"-")</f>
        <v>-</v>
      </c>
      <c r="C363" s="497"/>
      <c r="D363" s="319">
        <v>0</v>
      </c>
      <c r="E363" s="319">
        <v>0</v>
      </c>
      <c r="F363" s="319">
        <v>0</v>
      </c>
      <c r="G363" s="319">
        <v>0</v>
      </c>
      <c r="H363" s="520">
        <f t="shared" si="108"/>
        <v>0</v>
      </c>
      <c r="I363" s="39">
        <f t="shared" si="109"/>
        <v>0</v>
      </c>
      <c r="J363" s="2"/>
      <c r="K363" s="189"/>
      <c r="L363" s="2"/>
      <c r="M363" s="2"/>
      <c r="S363" s="523"/>
      <c r="T363" s="523"/>
      <c r="U363" s="523"/>
      <c r="V363" s="523"/>
      <c r="Y363" s="524"/>
    </row>
    <row r="364" spans="1:25" x14ac:dyDescent="0.3">
      <c r="A364" s="59" t="s">
        <v>466</v>
      </c>
      <c r="B364" s="469" t="str">
        <f>IFERROR(I364/I$135,"-")</f>
        <v>-</v>
      </c>
      <c r="C364" s="495"/>
      <c r="D364" s="325">
        <v>0</v>
      </c>
      <c r="E364" s="325">
        <v>0</v>
      </c>
      <c r="F364" s="325">
        <v>0</v>
      </c>
      <c r="G364" s="325">
        <v>0</v>
      </c>
      <c r="H364" s="196">
        <f t="shared" si="108"/>
        <v>0</v>
      </c>
      <c r="I364" s="231">
        <f t="shared" si="109"/>
        <v>0</v>
      </c>
      <c r="J364" s="2"/>
      <c r="K364" s="204"/>
      <c r="L364" s="2"/>
      <c r="M364" s="2"/>
      <c r="S364" s="523"/>
      <c r="T364" s="523"/>
      <c r="U364" s="523"/>
      <c r="V364" s="523"/>
      <c r="Y364" s="524"/>
    </row>
    <row r="365" spans="1:25" x14ac:dyDescent="0.3">
      <c r="A365" s="115" t="s">
        <v>70</v>
      </c>
      <c r="B365" s="53"/>
      <c r="C365" s="474"/>
      <c r="D365" s="223">
        <f t="shared" ref="D365" si="119">D366+D371+D376+D381+D386+D391</f>
        <v>0</v>
      </c>
      <c r="E365" s="223">
        <f t="shared" ref="E365" si="120">E366+E371+E376+E381+E386+E391</f>
        <v>0</v>
      </c>
      <c r="F365" s="223">
        <f t="shared" ref="F365:G365" si="121">F366+F371+F376+F381+F386+F391</f>
        <v>0</v>
      </c>
      <c r="G365" s="223">
        <f t="shared" si="121"/>
        <v>0</v>
      </c>
      <c r="H365" s="300">
        <f t="shared" ref="H365:H396" si="122">IFERROR(AVERAGE(C365:G365),0)</f>
        <v>0</v>
      </c>
      <c r="I365" s="300">
        <f t="shared" ref="I365:I396" si="123">SUM(C365:G365)</f>
        <v>0</v>
      </c>
      <c r="J365" s="2"/>
      <c r="K365" s="462" t="s">
        <v>295</v>
      </c>
      <c r="L365" s="2"/>
      <c r="M365" s="2"/>
      <c r="S365" s="523"/>
      <c r="T365" s="523"/>
      <c r="U365" s="523"/>
      <c r="V365" s="523"/>
      <c r="Y365" s="524"/>
    </row>
    <row r="366" spans="1:25" x14ac:dyDescent="0.3">
      <c r="A366" s="116" t="s">
        <v>258</v>
      </c>
      <c r="B366" s="310">
        <f>IFERROR(I366/I$106,"-")</f>
        <v>0</v>
      </c>
      <c r="C366" s="499"/>
      <c r="D366" s="297">
        <f>SUM(D367:D370)</f>
        <v>0</v>
      </c>
      <c r="E366" s="297">
        <f>SUM(E367:E370)</f>
        <v>0</v>
      </c>
      <c r="F366" s="297">
        <f t="shared" ref="F366:G366" si="124">SUM(F367:F370)</f>
        <v>0</v>
      </c>
      <c r="G366" s="297">
        <f t="shared" si="124"/>
        <v>0</v>
      </c>
      <c r="H366" s="62">
        <f t="shared" si="122"/>
        <v>0</v>
      </c>
      <c r="I366" s="62">
        <f t="shared" si="123"/>
        <v>0</v>
      </c>
      <c r="J366" s="2"/>
      <c r="K366" s="189"/>
      <c r="L366" s="2"/>
      <c r="M366" s="2"/>
      <c r="S366" s="523"/>
      <c r="T366" s="523"/>
      <c r="U366" s="523"/>
      <c r="V366" s="523"/>
      <c r="Y366" s="524"/>
    </row>
    <row r="367" spans="1:25" x14ac:dyDescent="0.3">
      <c r="A367" s="36" t="s">
        <v>463</v>
      </c>
      <c r="B367" s="305">
        <f>IFERROR(I367/I$107,"-")</f>
        <v>0</v>
      </c>
      <c r="C367" s="497"/>
      <c r="D367" s="320">
        <v>0</v>
      </c>
      <c r="E367" s="320">
        <v>0</v>
      </c>
      <c r="F367" s="320">
        <v>0</v>
      </c>
      <c r="G367" s="320">
        <v>0</v>
      </c>
      <c r="H367" s="520">
        <f t="shared" si="122"/>
        <v>0</v>
      </c>
      <c r="I367" s="39">
        <f t="shared" si="123"/>
        <v>0</v>
      </c>
      <c r="J367" s="2"/>
      <c r="K367" s="188"/>
      <c r="L367" s="2"/>
      <c r="M367" s="2"/>
      <c r="S367" s="523"/>
      <c r="T367" s="523"/>
      <c r="U367" s="523"/>
      <c r="V367" s="523"/>
      <c r="Y367" s="524"/>
    </row>
    <row r="368" spans="1:25" ht="13.15" customHeight="1" x14ac:dyDescent="0.3">
      <c r="A368" s="36" t="s">
        <v>464</v>
      </c>
      <c r="B368" s="305">
        <f>IFERROR(I368/I$108,"-")</f>
        <v>0</v>
      </c>
      <c r="C368" s="497"/>
      <c r="D368" s="319">
        <v>0</v>
      </c>
      <c r="E368" s="319">
        <v>0</v>
      </c>
      <c r="F368" s="319">
        <v>0</v>
      </c>
      <c r="G368" s="319">
        <v>0</v>
      </c>
      <c r="H368" s="520">
        <f t="shared" si="122"/>
        <v>0</v>
      </c>
      <c r="I368" s="39">
        <f t="shared" si="123"/>
        <v>0</v>
      </c>
      <c r="J368" s="2"/>
      <c r="K368" s="189"/>
      <c r="L368" s="2"/>
      <c r="M368" s="2"/>
      <c r="S368" s="523"/>
      <c r="T368" s="523"/>
      <c r="U368" s="523"/>
      <c r="V368" s="523"/>
      <c r="Y368" s="524"/>
    </row>
    <row r="369" spans="1:25" x14ac:dyDescent="0.3">
      <c r="A369" s="36" t="s">
        <v>465</v>
      </c>
      <c r="B369" s="305">
        <f>IFERROR(I369/I$109,"-")</f>
        <v>0</v>
      </c>
      <c r="C369" s="497"/>
      <c r="D369" s="319">
        <v>0</v>
      </c>
      <c r="E369" s="319">
        <v>0</v>
      </c>
      <c r="F369" s="319">
        <v>0</v>
      </c>
      <c r="G369" s="319">
        <v>0</v>
      </c>
      <c r="H369" s="520">
        <f t="shared" si="122"/>
        <v>0</v>
      </c>
      <c r="I369" s="39">
        <f t="shared" si="123"/>
        <v>0</v>
      </c>
      <c r="J369" s="2"/>
      <c r="K369" s="189"/>
      <c r="L369" s="2"/>
      <c r="M369" s="2"/>
      <c r="S369" s="523"/>
      <c r="T369" s="523"/>
      <c r="U369" s="523"/>
      <c r="V369" s="523"/>
      <c r="Y369" s="524"/>
    </row>
    <row r="370" spans="1:25" x14ac:dyDescent="0.3">
      <c r="A370" s="36" t="s">
        <v>466</v>
      </c>
      <c r="B370" s="305">
        <f>IFERROR(I370/I$110,"-")</f>
        <v>0</v>
      </c>
      <c r="C370" s="497"/>
      <c r="D370" s="319">
        <v>0</v>
      </c>
      <c r="E370" s="319">
        <v>0</v>
      </c>
      <c r="F370" s="319">
        <v>0</v>
      </c>
      <c r="G370" s="319">
        <v>0</v>
      </c>
      <c r="H370" s="520">
        <f t="shared" si="122"/>
        <v>0</v>
      </c>
      <c r="I370" s="39">
        <f t="shared" si="123"/>
        <v>0</v>
      </c>
      <c r="J370" s="2"/>
      <c r="K370" s="189"/>
      <c r="L370" s="2"/>
      <c r="M370" s="2"/>
      <c r="S370" s="523"/>
      <c r="T370" s="523"/>
      <c r="U370" s="523"/>
      <c r="V370" s="523"/>
      <c r="Y370" s="524"/>
    </row>
    <row r="371" spans="1:25" x14ac:dyDescent="0.3">
      <c r="A371" s="116" t="s">
        <v>467</v>
      </c>
      <c r="B371" s="310">
        <f>IFERROR(I371/I$111,"-")</f>
        <v>0</v>
      </c>
      <c r="C371" s="499"/>
      <c r="D371" s="297">
        <f>SUM(D372:D375)</f>
        <v>0</v>
      </c>
      <c r="E371" s="297">
        <f t="shared" ref="E371:G371" si="125">SUM(E372:E375)</f>
        <v>0</v>
      </c>
      <c r="F371" s="297">
        <f t="shared" si="125"/>
        <v>0</v>
      </c>
      <c r="G371" s="297">
        <f t="shared" si="125"/>
        <v>0</v>
      </c>
      <c r="H371" s="62">
        <f t="shared" si="122"/>
        <v>0</v>
      </c>
      <c r="I371" s="62">
        <f t="shared" si="123"/>
        <v>0</v>
      </c>
      <c r="J371" s="2"/>
      <c r="K371" s="197"/>
      <c r="L371" s="2"/>
      <c r="M371" s="2"/>
      <c r="S371" s="523"/>
      <c r="T371" s="523"/>
      <c r="U371" s="523"/>
      <c r="V371" s="523"/>
      <c r="Y371" s="524"/>
    </row>
    <row r="372" spans="1:25" x14ac:dyDescent="0.3">
      <c r="A372" s="36" t="s">
        <v>463</v>
      </c>
      <c r="B372" s="305" t="str">
        <f>IFERROR(I372/I$112,"-")</f>
        <v>-</v>
      </c>
      <c r="C372" s="497"/>
      <c r="D372" s="319">
        <v>0</v>
      </c>
      <c r="E372" s="319">
        <v>0</v>
      </c>
      <c r="F372" s="319">
        <v>0</v>
      </c>
      <c r="G372" s="319">
        <v>0</v>
      </c>
      <c r="H372" s="520">
        <f t="shared" si="122"/>
        <v>0</v>
      </c>
      <c r="I372" s="39">
        <f t="shared" si="123"/>
        <v>0</v>
      </c>
      <c r="J372" s="2"/>
      <c r="K372" s="189"/>
      <c r="L372" s="2"/>
      <c r="M372" s="2"/>
      <c r="S372" s="523"/>
      <c r="T372" s="523"/>
      <c r="U372" s="523"/>
      <c r="V372" s="523"/>
      <c r="Y372" s="524"/>
    </row>
    <row r="373" spans="1:25" x14ac:dyDescent="0.3">
      <c r="A373" s="36" t="s">
        <v>464</v>
      </c>
      <c r="B373" s="305">
        <f>IFERROR(I373/I$113,"-")</f>
        <v>0</v>
      </c>
      <c r="C373" s="497"/>
      <c r="D373" s="319">
        <v>0</v>
      </c>
      <c r="E373" s="319">
        <v>0</v>
      </c>
      <c r="F373" s="319">
        <v>0</v>
      </c>
      <c r="G373" s="319">
        <v>0</v>
      </c>
      <c r="H373" s="520">
        <f t="shared" si="122"/>
        <v>0</v>
      </c>
      <c r="I373" s="39">
        <f t="shared" si="123"/>
        <v>0</v>
      </c>
      <c r="J373" s="2"/>
      <c r="K373" s="189"/>
      <c r="L373" s="2"/>
      <c r="M373" s="2"/>
      <c r="S373" s="523"/>
      <c r="T373" s="523"/>
      <c r="U373" s="523"/>
      <c r="V373" s="523"/>
      <c r="Y373" s="524"/>
    </row>
    <row r="374" spans="1:25" x14ac:dyDescent="0.3">
      <c r="A374" s="36" t="s">
        <v>465</v>
      </c>
      <c r="B374" s="305" t="str">
        <f>IFERROR(I374/I$114,"-")</f>
        <v>-</v>
      </c>
      <c r="C374" s="497"/>
      <c r="D374" s="319">
        <v>0</v>
      </c>
      <c r="E374" s="319">
        <v>0</v>
      </c>
      <c r="F374" s="319">
        <v>0</v>
      </c>
      <c r="G374" s="319">
        <v>0</v>
      </c>
      <c r="H374" s="520">
        <f t="shared" si="122"/>
        <v>0</v>
      </c>
      <c r="I374" s="39">
        <f t="shared" si="123"/>
        <v>0</v>
      </c>
      <c r="J374" s="2"/>
      <c r="K374" s="189"/>
      <c r="L374" s="2"/>
      <c r="M374" s="2"/>
      <c r="S374" s="523"/>
      <c r="T374" s="523"/>
      <c r="U374" s="523"/>
      <c r="V374" s="523"/>
      <c r="Y374" s="524"/>
    </row>
    <row r="375" spans="1:25" x14ac:dyDescent="0.3">
      <c r="A375" s="59" t="s">
        <v>466</v>
      </c>
      <c r="B375" s="469" t="str">
        <f>IFERROR(I375/I$115,"-")</f>
        <v>-</v>
      </c>
      <c r="C375" s="495"/>
      <c r="D375" s="325">
        <v>0</v>
      </c>
      <c r="E375" s="325">
        <v>0</v>
      </c>
      <c r="F375" s="325">
        <v>0</v>
      </c>
      <c r="G375" s="325">
        <v>0</v>
      </c>
      <c r="H375" s="196">
        <f t="shared" si="122"/>
        <v>0</v>
      </c>
      <c r="I375" s="231">
        <f t="shared" si="123"/>
        <v>0</v>
      </c>
      <c r="J375" s="2"/>
      <c r="K375" s="204"/>
      <c r="L375" s="2"/>
      <c r="M375" s="2"/>
      <c r="S375" s="523"/>
      <c r="T375" s="523"/>
      <c r="U375" s="523"/>
      <c r="V375" s="523"/>
      <c r="Y375" s="524"/>
    </row>
    <row r="376" spans="1:25" x14ac:dyDescent="0.3">
      <c r="A376" s="116" t="s">
        <v>468</v>
      </c>
      <c r="B376" s="310" t="str">
        <f>IFERROR(I376/I$116,"-")</f>
        <v>-</v>
      </c>
      <c r="C376" s="499"/>
      <c r="D376" s="297">
        <f>SUM(D377:D380)</f>
        <v>0</v>
      </c>
      <c r="E376" s="297">
        <f t="shared" ref="E376:G376" si="126">SUM(E377:E380)</f>
        <v>0</v>
      </c>
      <c r="F376" s="297">
        <f t="shared" si="126"/>
        <v>0</v>
      </c>
      <c r="G376" s="297">
        <f t="shared" si="126"/>
        <v>0</v>
      </c>
      <c r="H376" s="62">
        <f t="shared" si="122"/>
        <v>0</v>
      </c>
      <c r="I376" s="62">
        <f t="shared" si="123"/>
        <v>0</v>
      </c>
      <c r="J376" s="2"/>
      <c r="K376" s="189"/>
      <c r="L376" s="2"/>
      <c r="M376" s="2"/>
      <c r="S376" s="523"/>
      <c r="T376" s="523"/>
      <c r="U376" s="523"/>
      <c r="V376" s="523"/>
      <c r="Y376" s="524"/>
    </row>
    <row r="377" spans="1:25" x14ac:dyDescent="0.3">
      <c r="A377" s="36" t="s">
        <v>463</v>
      </c>
      <c r="B377" s="305" t="str">
        <f>IFERROR(I377/I$117,"-")</f>
        <v>-</v>
      </c>
      <c r="C377" s="497"/>
      <c r="D377" s="320">
        <v>0</v>
      </c>
      <c r="E377" s="320">
        <v>0</v>
      </c>
      <c r="F377" s="320">
        <v>0</v>
      </c>
      <c r="G377" s="320">
        <v>0</v>
      </c>
      <c r="H377" s="520">
        <f t="shared" si="122"/>
        <v>0</v>
      </c>
      <c r="I377" s="39">
        <f t="shared" si="123"/>
        <v>0</v>
      </c>
      <c r="J377" s="2"/>
      <c r="K377" s="188"/>
      <c r="L377" s="2"/>
      <c r="M377" s="2"/>
      <c r="S377" s="523"/>
      <c r="T377" s="523"/>
      <c r="U377" s="523"/>
      <c r="V377" s="523"/>
      <c r="Y377" s="524"/>
    </row>
    <row r="378" spans="1:25" ht="13.15" customHeight="1" x14ac:dyDescent="0.3">
      <c r="A378" s="36" t="s">
        <v>464</v>
      </c>
      <c r="B378" s="305" t="str">
        <f>IFERROR(I378/I$118,"-")</f>
        <v>-</v>
      </c>
      <c r="C378" s="497"/>
      <c r="D378" s="319">
        <v>0</v>
      </c>
      <c r="E378" s="319">
        <v>0</v>
      </c>
      <c r="F378" s="319">
        <v>0</v>
      </c>
      <c r="G378" s="319">
        <v>0</v>
      </c>
      <c r="H378" s="520">
        <f t="shared" si="122"/>
        <v>0</v>
      </c>
      <c r="I378" s="39">
        <f t="shared" si="123"/>
        <v>0</v>
      </c>
      <c r="J378" s="2"/>
      <c r="K378" s="189"/>
      <c r="L378" s="2"/>
      <c r="M378" s="2"/>
      <c r="S378" s="523"/>
      <c r="T378" s="523"/>
      <c r="U378" s="523"/>
      <c r="V378" s="523"/>
      <c r="Y378" s="524"/>
    </row>
    <row r="379" spans="1:25" x14ac:dyDescent="0.3">
      <c r="A379" s="36" t="s">
        <v>465</v>
      </c>
      <c r="B379" s="305" t="str">
        <f>IFERROR(I379/I$119,"-")</f>
        <v>-</v>
      </c>
      <c r="C379" s="497"/>
      <c r="D379" s="319">
        <v>0</v>
      </c>
      <c r="E379" s="319">
        <v>0</v>
      </c>
      <c r="F379" s="319">
        <v>0</v>
      </c>
      <c r="G379" s="319">
        <v>0</v>
      </c>
      <c r="H379" s="520">
        <f t="shared" si="122"/>
        <v>0</v>
      </c>
      <c r="I379" s="39">
        <f t="shared" si="123"/>
        <v>0</v>
      </c>
      <c r="J379" s="2"/>
      <c r="K379" s="189"/>
      <c r="L379" s="2"/>
      <c r="M379" s="2"/>
      <c r="S379" s="523"/>
      <c r="T379" s="523"/>
      <c r="U379" s="523"/>
      <c r="V379" s="523"/>
      <c r="Y379" s="524"/>
    </row>
    <row r="380" spans="1:25" x14ac:dyDescent="0.3">
      <c r="A380" s="36" t="s">
        <v>466</v>
      </c>
      <c r="B380" s="305" t="str">
        <f>IFERROR(I380/I$120,"-")</f>
        <v>-</v>
      </c>
      <c r="C380" s="497"/>
      <c r="D380" s="319">
        <v>0</v>
      </c>
      <c r="E380" s="319">
        <v>0</v>
      </c>
      <c r="F380" s="319">
        <v>0</v>
      </c>
      <c r="G380" s="319">
        <v>0</v>
      </c>
      <c r="H380" s="520">
        <f t="shared" si="122"/>
        <v>0</v>
      </c>
      <c r="I380" s="39">
        <f t="shared" si="123"/>
        <v>0</v>
      </c>
      <c r="J380" s="2"/>
      <c r="K380" s="189"/>
      <c r="L380" s="2"/>
      <c r="M380" s="2"/>
      <c r="S380" s="523"/>
      <c r="T380" s="523"/>
      <c r="U380" s="523"/>
      <c r="V380" s="523"/>
      <c r="Y380" s="524"/>
    </row>
    <row r="381" spans="1:25" x14ac:dyDescent="0.3">
      <c r="A381" s="116" t="s">
        <v>257</v>
      </c>
      <c r="B381" s="310">
        <f>IFERROR(I381/I$121,"-")</f>
        <v>0</v>
      </c>
      <c r="C381" s="499"/>
      <c r="D381" s="297">
        <f>SUM(D382:D385)</f>
        <v>0</v>
      </c>
      <c r="E381" s="297">
        <f t="shared" ref="E381:G381" si="127">SUM(E382:E385)</f>
        <v>0</v>
      </c>
      <c r="F381" s="297">
        <f t="shared" si="127"/>
        <v>0</v>
      </c>
      <c r="G381" s="297">
        <f t="shared" si="127"/>
        <v>0</v>
      </c>
      <c r="H381" s="62">
        <f t="shared" si="122"/>
        <v>0</v>
      </c>
      <c r="I381" s="62">
        <f t="shared" si="123"/>
        <v>0</v>
      </c>
      <c r="J381" s="2"/>
      <c r="K381" s="197"/>
      <c r="L381" s="2"/>
      <c r="M381" s="2"/>
      <c r="S381" s="523"/>
      <c r="T381" s="523"/>
      <c r="U381" s="523"/>
      <c r="V381" s="523"/>
      <c r="Y381" s="524"/>
    </row>
    <row r="382" spans="1:25" x14ac:dyDescent="0.3">
      <c r="A382" s="36" t="s">
        <v>463</v>
      </c>
      <c r="B382" s="305">
        <f>IFERROR(I382/I$122,"-")</f>
        <v>0</v>
      </c>
      <c r="C382" s="497"/>
      <c r="D382" s="319">
        <v>0</v>
      </c>
      <c r="E382" s="319">
        <v>0</v>
      </c>
      <c r="F382" s="319">
        <v>0</v>
      </c>
      <c r="G382" s="319">
        <v>0</v>
      </c>
      <c r="H382" s="520">
        <f t="shared" si="122"/>
        <v>0</v>
      </c>
      <c r="I382" s="39">
        <f t="shared" si="123"/>
        <v>0</v>
      </c>
      <c r="J382" s="2"/>
      <c r="K382" s="189"/>
      <c r="L382" s="2"/>
      <c r="M382" s="2"/>
      <c r="S382" s="523"/>
      <c r="T382" s="523"/>
      <c r="U382" s="523"/>
      <c r="V382" s="523"/>
      <c r="Y382" s="524"/>
    </row>
    <row r="383" spans="1:25" x14ac:dyDescent="0.3">
      <c r="A383" s="36" t="s">
        <v>464</v>
      </c>
      <c r="B383" s="305" t="str">
        <f>IFERROR(I383/I$123,"-")</f>
        <v>-</v>
      </c>
      <c r="C383" s="497"/>
      <c r="D383" s="319">
        <v>0</v>
      </c>
      <c r="E383" s="319">
        <v>0</v>
      </c>
      <c r="F383" s="319">
        <v>0</v>
      </c>
      <c r="G383" s="319">
        <v>0</v>
      </c>
      <c r="H383" s="520">
        <f t="shared" si="122"/>
        <v>0</v>
      </c>
      <c r="I383" s="39">
        <f t="shared" si="123"/>
        <v>0</v>
      </c>
      <c r="J383" s="2"/>
      <c r="K383" s="189"/>
      <c r="L383" s="2"/>
      <c r="M383" s="2"/>
      <c r="S383" s="523"/>
      <c r="T383" s="523"/>
      <c r="U383" s="523"/>
      <c r="V383" s="523"/>
      <c r="Y383" s="524"/>
    </row>
    <row r="384" spans="1:25" x14ac:dyDescent="0.3">
      <c r="A384" s="36" t="s">
        <v>465</v>
      </c>
      <c r="B384" s="305" t="str">
        <f>IFERROR(I384/I$124,"-")</f>
        <v>-</v>
      </c>
      <c r="C384" s="497"/>
      <c r="D384" s="319">
        <v>0</v>
      </c>
      <c r="E384" s="319">
        <v>0</v>
      </c>
      <c r="F384" s="319">
        <v>0</v>
      </c>
      <c r="G384" s="319">
        <v>0</v>
      </c>
      <c r="H384" s="520">
        <f t="shared" si="122"/>
        <v>0</v>
      </c>
      <c r="I384" s="39">
        <f t="shared" si="123"/>
        <v>0</v>
      </c>
      <c r="J384" s="2"/>
      <c r="K384" s="189"/>
      <c r="L384" s="2"/>
      <c r="M384" s="2"/>
      <c r="S384" s="523"/>
      <c r="T384" s="523"/>
      <c r="U384" s="523"/>
      <c r="V384" s="523"/>
      <c r="Y384" s="524"/>
    </row>
    <row r="385" spans="1:25" x14ac:dyDescent="0.3">
      <c r="A385" s="59" t="s">
        <v>466</v>
      </c>
      <c r="B385" s="469">
        <f>IFERROR(I385/I$125,"-")</f>
        <v>0</v>
      </c>
      <c r="C385" s="495"/>
      <c r="D385" s="325">
        <v>0</v>
      </c>
      <c r="E385" s="325">
        <v>0</v>
      </c>
      <c r="F385" s="325">
        <v>0</v>
      </c>
      <c r="G385" s="325">
        <v>0</v>
      </c>
      <c r="H385" s="196">
        <f t="shared" si="122"/>
        <v>0</v>
      </c>
      <c r="I385" s="231">
        <f t="shared" si="123"/>
        <v>0</v>
      </c>
      <c r="J385" s="2"/>
      <c r="K385" s="204"/>
      <c r="L385" s="2"/>
      <c r="M385" s="2"/>
      <c r="S385" s="523"/>
      <c r="T385" s="523"/>
      <c r="U385" s="523"/>
      <c r="V385" s="523"/>
      <c r="Y385" s="524"/>
    </row>
    <row r="386" spans="1:25" x14ac:dyDescent="0.3">
      <c r="A386" s="116" t="s">
        <v>259</v>
      </c>
      <c r="B386" s="310">
        <f>IFERROR(I386/I$126,"-")</f>
        <v>0</v>
      </c>
      <c r="C386" s="499"/>
      <c r="D386" s="297">
        <f>SUM(D387:D390)</f>
        <v>0</v>
      </c>
      <c r="E386" s="297">
        <f t="shared" ref="E386:G386" si="128">SUM(E387:E390)</f>
        <v>0</v>
      </c>
      <c r="F386" s="297">
        <f t="shared" si="128"/>
        <v>0</v>
      </c>
      <c r="G386" s="297">
        <f t="shared" si="128"/>
        <v>0</v>
      </c>
      <c r="H386" s="62">
        <f t="shared" si="122"/>
        <v>0</v>
      </c>
      <c r="I386" s="62">
        <f t="shared" si="123"/>
        <v>0</v>
      </c>
      <c r="J386" s="2"/>
      <c r="K386" s="189"/>
      <c r="L386" s="2"/>
      <c r="M386" s="2"/>
      <c r="S386" s="523"/>
      <c r="T386" s="523"/>
      <c r="U386" s="523"/>
      <c r="V386" s="523"/>
      <c r="Y386" s="524"/>
    </row>
    <row r="387" spans="1:25" x14ac:dyDescent="0.3">
      <c r="A387" s="36" t="s">
        <v>463</v>
      </c>
      <c r="B387" s="305">
        <f>IFERROR(I387/I$127,"-")</f>
        <v>0</v>
      </c>
      <c r="C387" s="497"/>
      <c r="D387" s="320">
        <v>0</v>
      </c>
      <c r="E387" s="320">
        <v>0</v>
      </c>
      <c r="F387" s="320">
        <v>0</v>
      </c>
      <c r="G387" s="320">
        <v>0</v>
      </c>
      <c r="H387" s="520">
        <f t="shared" si="122"/>
        <v>0</v>
      </c>
      <c r="I387" s="39">
        <f t="shared" si="123"/>
        <v>0</v>
      </c>
      <c r="J387" s="2"/>
      <c r="K387" s="188"/>
      <c r="L387" s="2"/>
      <c r="M387" s="2"/>
      <c r="S387" s="523"/>
      <c r="T387" s="523"/>
      <c r="U387" s="523"/>
      <c r="V387" s="523"/>
      <c r="Y387" s="524"/>
    </row>
    <row r="388" spans="1:25" ht="13.15" customHeight="1" x14ac:dyDescent="0.3">
      <c r="A388" s="36" t="s">
        <v>464</v>
      </c>
      <c r="B388" s="305">
        <f>IFERROR(I388/I$128,"-")</f>
        <v>0</v>
      </c>
      <c r="C388" s="497"/>
      <c r="D388" s="319">
        <v>0</v>
      </c>
      <c r="E388" s="319">
        <v>0</v>
      </c>
      <c r="F388" s="319">
        <v>0</v>
      </c>
      <c r="G388" s="319">
        <v>0</v>
      </c>
      <c r="H388" s="520">
        <f t="shared" si="122"/>
        <v>0</v>
      </c>
      <c r="I388" s="39">
        <f t="shared" si="123"/>
        <v>0</v>
      </c>
      <c r="J388" s="2"/>
      <c r="K388" s="189"/>
      <c r="L388" s="2"/>
      <c r="M388" s="2"/>
      <c r="S388" s="523"/>
      <c r="T388" s="523"/>
      <c r="U388" s="523"/>
      <c r="V388" s="523"/>
      <c r="Y388" s="524"/>
    </row>
    <row r="389" spans="1:25" x14ac:dyDescent="0.3">
      <c r="A389" s="36" t="s">
        <v>465</v>
      </c>
      <c r="B389" s="305" t="str">
        <f>IFERROR(I389/I$129,"-")</f>
        <v>-</v>
      </c>
      <c r="C389" s="497"/>
      <c r="D389" s="319">
        <v>0</v>
      </c>
      <c r="E389" s="319">
        <v>0</v>
      </c>
      <c r="F389" s="319">
        <v>0</v>
      </c>
      <c r="G389" s="319">
        <v>0</v>
      </c>
      <c r="H389" s="520">
        <f t="shared" si="122"/>
        <v>0</v>
      </c>
      <c r="I389" s="39">
        <f t="shared" si="123"/>
        <v>0</v>
      </c>
      <c r="J389" s="2"/>
      <c r="K389" s="189"/>
      <c r="L389" s="2"/>
      <c r="M389" s="2"/>
      <c r="S389" s="523"/>
      <c r="T389" s="523"/>
      <c r="U389" s="523"/>
      <c r="V389" s="523"/>
      <c r="Y389" s="524"/>
    </row>
    <row r="390" spans="1:25" x14ac:dyDescent="0.3">
      <c r="A390" s="36" t="s">
        <v>466</v>
      </c>
      <c r="B390" s="305" t="str">
        <f>IFERROR(I390/I$130,"-")</f>
        <v>-</v>
      </c>
      <c r="C390" s="497"/>
      <c r="D390" s="319">
        <v>0</v>
      </c>
      <c r="E390" s="319">
        <v>0</v>
      </c>
      <c r="F390" s="319">
        <v>0</v>
      </c>
      <c r="G390" s="319">
        <v>0</v>
      </c>
      <c r="H390" s="520">
        <f t="shared" si="122"/>
        <v>0</v>
      </c>
      <c r="I390" s="39">
        <f t="shared" si="123"/>
        <v>0</v>
      </c>
      <c r="J390" s="2"/>
      <c r="K390" s="189"/>
      <c r="L390" s="2"/>
      <c r="M390" s="2"/>
      <c r="S390" s="523"/>
      <c r="T390" s="523"/>
      <c r="U390" s="523"/>
      <c r="V390" s="523"/>
      <c r="Y390" s="524"/>
    </row>
    <row r="391" spans="1:25" x14ac:dyDescent="0.3">
      <c r="A391" s="116" t="s">
        <v>447</v>
      </c>
      <c r="B391" s="310" t="str">
        <f>IFERROR(I391/I$131,"-")</f>
        <v>-</v>
      </c>
      <c r="C391" s="499"/>
      <c r="D391" s="297">
        <f>SUM(D392:D395)</f>
        <v>0</v>
      </c>
      <c r="E391" s="297">
        <f t="shared" ref="E391:G391" si="129">SUM(E392:E395)</f>
        <v>0</v>
      </c>
      <c r="F391" s="297">
        <f t="shared" si="129"/>
        <v>0</v>
      </c>
      <c r="G391" s="297">
        <f t="shared" si="129"/>
        <v>0</v>
      </c>
      <c r="H391" s="62">
        <f t="shared" si="122"/>
        <v>0</v>
      </c>
      <c r="I391" s="62">
        <f t="shared" si="123"/>
        <v>0</v>
      </c>
      <c r="J391" s="2"/>
      <c r="K391" s="197"/>
      <c r="L391" s="2"/>
      <c r="M391" s="2"/>
      <c r="S391" s="523"/>
      <c r="T391" s="523"/>
      <c r="U391" s="523"/>
      <c r="V391" s="523"/>
      <c r="Y391" s="524"/>
    </row>
    <row r="392" spans="1:25" x14ac:dyDescent="0.3">
      <c r="A392" s="36" t="s">
        <v>463</v>
      </c>
      <c r="B392" s="305" t="str">
        <f>IFERROR(I392/I$132,"-")</f>
        <v>-</v>
      </c>
      <c r="C392" s="497"/>
      <c r="D392" s="319">
        <v>0</v>
      </c>
      <c r="E392" s="319">
        <v>0</v>
      </c>
      <c r="F392" s="319">
        <v>0</v>
      </c>
      <c r="G392" s="319">
        <v>0</v>
      </c>
      <c r="H392" s="520">
        <f t="shared" si="122"/>
        <v>0</v>
      </c>
      <c r="I392" s="39">
        <f t="shared" si="123"/>
        <v>0</v>
      </c>
      <c r="J392" s="2"/>
      <c r="K392" s="189"/>
      <c r="L392" s="2"/>
      <c r="M392" s="2"/>
      <c r="S392" s="523"/>
      <c r="T392" s="523"/>
      <c r="U392" s="523"/>
      <c r="V392" s="523"/>
      <c r="Y392" s="524"/>
    </row>
    <row r="393" spans="1:25" x14ac:dyDescent="0.3">
      <c r="A393" s="36" t="s">
        <v>464</v>
      </c>
      <c r="B393" s="305" t="str">
        <f>IFERROR(I393/I$133,"-")</f>
        <v>-</v>
      </c>
      <c r="C393" s="497"/>
      <c r="D393" s="319">
        <v>0</v>
      </c>
      <c r="E393" s="319">
        <v>0</v>
      </c>
      <c r="F393" s="319">
        <v>0</v>
      </c>
      <c r="G393" s="319">
        <v>0</v>
      </c>
      <c r="H393" s="520">
        <f t="shared" si="122"/>
        <v>0</v>
      </c>
      <c r="I393" s="39">
        <f t="shared" si="123"/>
        <v>0</v>
      </c>
      <c r="J393" s="2"/>
      <c r="K393" s="189"/>
      <c r="L393" s="2"/>
      <c r="M393" s="2"/>
      <c r="S393" s="523"/>
      <c r="T393" s="523"/>
      <c r="U393" s="523"/>
      <c r="V393" s="523"/>
      <c r="Y393" s="524"/>
    </row>
    <row r="394" spans="1:25" x14ac:dyDescent="0.3">
      <c r="A394" s="36" t="s">
        <v>465</v>
      </c>
      <c r="B394" s="305" t="str">
        <f>IFERROR(I394/I$134,"-")</f>
        <v>-</v>
      </c>
      <c r="C394" s="497"/>
      <c r="D394" s="319">
        <v>0</v>
      </c>
      <c r="E394" s="319">
        <v>0</v>
      </c>
      <c r="F394" s="319">
        <v>0</v>
      </c>
      <c r="G394" s="319">
        <v>0</v>
      </c>
      <c r="H394" s="520">
        <f t="shared" si="122"/>
        <v>0</v>
      </c>
      <c r="I394" s="39">
        <f t="shared" si="123"/>
        <v>0</v>
      </c>
      <c r="J394" s="2"/>
      <c r="K394" s="189"/>
      <c r="L394" s="2"/>
      <c r="M394" s="2"/>
      <c r="S394" s="523"/>
      <c r="T394" s="523"/>
      <c r="U394" s="523"/>
      <c r="V394" s="523"/>
      <c r="Y394" s="524"/>
    </row>
    <row r="395" spans="1:25" x14ac:dyDescent="0.3">
      <c r="A395" s="59" t="s">
        <v>466</v>
      </c>
      <c r="B395" s="469" t="str">
        <f>IFERROR(I395/I$135,"-")</f>
        <v>-</v>
      </c>
      <c r="C395" s="495"/>
      <c r="D395" s="325">
        <v>0</v>
      </c>
      <c r="E395" s="325">
        <v>0</v>
      </c>
      <c r="F395" s="325">
        <v>0</v>
      </c>
      <c r="G395" s="325">
        <v>0</v>
      </c>
      <c r="H395" s="196">
        <f t="shared" si="122"/>
        <v>0</v>
      </c>
      <c r="I395" s="231">
        <f t="shared" si="123"/>
        <v>0</v>
      </c>
      <c r="J395" s="2"/>
      <c r="K395" s="204"/>
      <c r="L395" s="2"/>
      <c r="M395" s="2"/>
      <c r="S395" s="523"/>
      <c r="T395" s="523"/>
      <c r="U395" s="523"/>
      <c r="V395" s="523"/>
      <c r="Y395" s="524"/>
    </row>
    <row r="396" spans="1:25" x14ac:dyDescent="0.3">
      <c r="A396" s="115" t="s">
        <v>71</v>
      </c>
      <c r="B396" s="53"/>
      <c r="C396" s="474"/>
      <c r="D396" s="223">
        <f t="shared" ref="D396" si="130">D397+D402+D407+D412+D417+D422</f>
        <v>132407.88740201129</v>
      </c>
      <c r="E396" s="223">
        <f t="shared" ref="E396" si="131">E397+E402+E407+E412+E417+E422</f>
        <v>132395.99572412699</v>
      </c>
      <c r="F396" s="223">
        <f t="shared" ref="F396:G396" si="132">F397+F402+F407+F412+F417+F422</f>
        <v>132399.91629552419</v>
      </c>
      <c r="G396" s="223">
        <f t="shared" si="132"/>
        <v>132818.15028901736</v>
      </c>
      <c r="H396" s="300">
        <f t="shared" si="122"/>
        <v>132505.48742766996</v>
      </c>
      <c r="I396" s="300">
        <f t="shared" si="123"/>
        <v>530021.94971067982</v>
      </c>
      <c r="J396" s="2"/>
      <c r="K396" s="462" t="s">
        <v>295</v>
      </c>
      <c r="L396" s="2"/>
      <c r="M396" s="2"/>
      <c r="S396" s="523"/>
      <c r="T396" s="523"/>
      <c r="U396" s="523"/>
      <c r="V396" s="523"/>
      <c r="Y396" s="524"/>
    </row>
    <row r="397" spans="1:25" x14ac:dyDescent="0.3">
      <c r="A397" s="116" t="s">
        <v>258</v>
      </c>
      <c r="B397" s="310">
        <f>IFERROR(I397/I$106,"-")</f>
        <v>702.12723888689652</v>
      </c>
      <c r="C397" s="499"/>
      <c r="D397" s="297">
        <f>SUM(D398:D401)</f>
        <v>83939.390292184689</v>
      </c>
      <c r="E397" s="297">
        <f>SUM(E398:E401)</f>
        <v>83921.552775358286</v>
      </c>
      <c r="F397" s="297">
        <f t="shared" ref="F397:G397" si="133">SUM(F398:F401)</f>
        <v>83931.419185697596</v>
      </c>
      <c r="G397" s="297">
        <f t="shared" si="133"/>
        <v>84347.671232876717</v>
      </c>
      <c r="H397" s="62">
        <f t="shared" ref="H397:H428" si="134">IFERROR(AVERAGE(C397:G397),0)</f>
        <v>84035.008371529315</v>
      </c>
      <c r="I397" s="62">
        <f t="shared" ref="I397:I428" si="135">SUM(C397:G397)</f>
        <v>336140.03348611726</v>
      </c>
      <c r="J397" s="2"/>
      <c r="K397" s="189"/>
      <c r="L397" s="2"/>
      <c r="M397" s="2"/>
      <c r="S397" s="523"/>
      <c r="T397" s="523"/>
      <c r="U397" s="523"/>
      <c r="V397" s="523"/>
      <c r="Y397" s="524"/>
    </row>
    <row r="398" spans="1:25" x14ac:dyDescent="0.3">
      <c r="A398" s="36" t="s">
        <v>463</v>
      </c>
      <c r="B398" s="305">
        <f>IFERROR(I398/I$107,"-")</f>
        <v>496.29125074869779</v>
      </c>
      <c r="C398" s="497"/>
      <c r="D398" s="320">
        <v>18083.278169292898</v>
      </c>
      <c r="E398" s="320">
        <v>13201.744397814553</v>
      </c>
      <c r="F398" s="320">
        <v>8929.9677816734584</v>
      </c>
      <c r="G398" s="320">
        <v>4822.0753820571699</v>
      </c>
      <c r="H398" s="520">
        <f t="shared" si="134"/>
        <v>11259.266432709519</v>
      </c>
      <c r="I398" s="39">
        <f t="shared" si="135"/>
        <v>45037.065730838076</v>
      </c>
      <c r="J398" s="2"/>
      <c r="K398" s="188"/>
      <c r="L398" s="2"/>
      <c r="M398" s="2"/>
      <c r="S398" s="523"/>
      <c r="T398" s="523"/>
      <c r="U398" s="523"/>
      <c r="V398" s="523"/>
      <c r="Y398" s="524"/>
    </row>
    <row r="399" spans="1:25" ht="13.15" customHeight="1" x14ac:dyDescent="0.3">
      <c r="A399" s="36" t="s">
        <v>464</v>
      </c>
      <c r="B399" s="305">
        <f>IFERROR(I399/I$108,"-")</f>
        <v>723.41040462427748</v>
      </c>
      <c r="C399" s="497"/>
      <c r="D399" s="319">
        <v>26042.774566473989</v>
      </c>
      <c r="E399" s="319">
        <v>26042.774566473989</v>
      </c>
      <c r="F399" s="319">
        <v>26042.774566473989</v>
      </c>
      <c r="G399" s="319">
        <v>26042.774566473989</v>
      </c>
      <c r="H399" s="520">
        <f t="shared" si="134"/>
        <v>26042.774566473989</v>
      </c>
      <c r="I399" s="39">
        <f t="shared" si="135"/>
        <v>104171.09826589595</v>
      </c>
      <c r="J399" s="2"/>
      <c r="K399" s="189"/>
      <c r="L399" s="2"/>
      <c r="M399" s="2"/>
      <c r="S399" s="523"/>
      <c r="T399" s="523"/>
      <c r="U399" s="523"/>
      <c r="V399" s="523"/>
      <c r="Y399" s="524"/>
    </row>
    <row r="400" spans="1:25" x14ac:dyDescent="0.3">
      <c r="A400" s="36" t="s">
        <v>465</v>
      </c>
      <c r="B400" s="305">
        <f>IFERROR(I400/I$109,"-")</f>
        <v>638.18671312059553</v>
      </c>
      <c r="C400" s="497"/>
      <c r="D400" s="319">
        <v>4340.4624277456651</v>
      </c>
      <c r="E400" s="319">
        <v>5612.8719613587773</v>
      </c>
      <c r="F400" s="319">
        <v>6510.6936416184972</v>
      </c>
      <c r="G400" s="319">
        <v>6510.6936416184972</v>
      </c>
      <c r="H400" s="520">
        <f t="shared" si="134"/>
        <v>5743.6804180853596</v>
      </c>
      <c r="I400" s="39">
        <f t="shared" si="135"/>
        <v>22974.721672341439</v>
      </c>
      <c r="J400" s="2"/>
      <c r="K400" s="189"/>
      <c r="L400" s="2"/>
      <c r="M400" s="2"/>
      <c r="S400" s="523"/>
      <c r="T400" s="523"/>
      <c r="U400" s="523"/>
      <c r="V400" s="523"/>
      <c r="Y400" s="524"/>
    </row>
    <row r="401" spans="1:25" x14ac:dyDescent="0.3">
      <c r="A401" s="36" t="s">
        <v>466</v>
      </c>
      <c r="B401" s="305">
        <f>IFERROR(I401/I$110,"-")</f>
        <v>788.26334801526286</v>
      </c>
      <c r="C401" s="497"/>
      <c r="D401" s="319">
        <v>35472.875128672124</v>
      </c>
      <c r="E401" s="319">
        <v>39064.161849710981</v>
      </c>
      <c r="F401" s="319">
        <v>42447.983195931651</v>
      </c>
      <c r="G401" s="319">
        <v>46972.127642727057</v>
      </c>
      <c r="H401" s="520">
        <f t="shared" si="134"/>
        <v>40989.286954260453</v>
      </c>
      <c r="I401" s="39">
        <f t="shared" si="135"/>
        <v>163957.14781704181</v>
      </c>
      <c r="J401" s="2"/>
      <c r="K401" s="189"/>
      <c r="L401" s="2"/>
      <c r="M401" s="2"/>
      <c r="S401" s="523"/>
      <c r="T401" s="523"/>
      <c r="U401" s="523"/>
      <c r="V401" s="523"/>
      <c r="Y401" s="524"/>
    </row>
    <row r="402" spans="1:25" x14ac:dyDescent="0.3">
      <c r="A402" s="116" t="s">
        <v>467</v>
      </c>
      <c r="B402" s="310">
        <f>IFERROR(I402/I$111,"-")</f>
        <v>723.41040462427748</v>
      </c>
      <c r="C402" s="499"/>
      <c r="D402" s="297">
        <f>SUM(D403:D406)</f>
        <v>29659.826589595377</v>
      </c>
      <c r="E402" s="297">
        <f t="shared" ref="E402:G402" si="136">SUM(E403:E406)</f>
        <v>29659.826589595377</v>
      </c>
      <c r="F402" s="297">
        <f t="shared" si="136"/>
        <v>29659.826589595377</v>
      </c>
      <c r="G402" s="297">
        <f t="shared" si="136"/>
        <v>29659.826589595377</v>
      </c>
      <c r="H402" s="62">
        <f t="shared" si="134"/>
        <v>29659.826589595377</v>
      </c>
      <c r="I402" s="62">
        <f t="shared" si="135"/>
        <v>118639.30635838151</v>
      </c>
      <c r="J402" s="2"/>
      <c r="K402" s="197"/>
      <c r="L402" s="2"/>
      <c r="M402" s="2"/>
      <c r="S402" s="523"/>
      <c r="T402" s="523"/>
      <c r="U402" s="523"/>
      <c r="V402" s="523"/>
      <c r="Y402" s="524"/>
    </row>
    <row r="403" spans="1:25" x14ac:dyDescent="0.3">
      <c r="A403" s="36" t="s">
        <v>463</v>
      </c>
      <c r="B403" s="305" t="str">
        <f>IFERROR(I403/I$112,"-")</f>
        <v>-</v>
      </c>
      <c r="C403" s="497"/>
      <c r="D403" s="319">
        <v>0</v>
      </c>
      <c r="E403" s="319">
        <v>0</v>
      </c>
      <c r="F403" s="319">
        <v>0</v>
      </c>
      <c r="G403" s="319">
        <v>0</v>
      </c>
      <c r="H403" s="520">
        <f t="shared" si="134"/>
        <v>0</v>
      </c>
      <c r="I403" s="39">
        <f t="shared" si="135"/>
        <v>0</v>
      </c>
      <c r="J403" s="2"/>
      <c r="K403" s="189"/>
      <c r="L403" s="2"/>
      <c r="M403" s="2"/>
      <c r="S403" s="523"/>
      <c r="T403" s="523"/>
      <c r="U403" s="523"/>
      <c r="V403" s="523"/>
      <c r="Y403" s="524"/>
    </row>
    <row r="404" spans="1:25" x14ac:dyDescent="0.3">
      <c r="A404" s="36" t="s">
        <v>464</v>
      </c>
      <c r="B404" s="305">
        <f>IFERROR(I404/I$113,"-")</f>
        <v>723.41040462427748</v>
      </c>
      <c r="C404" s="497"/>
      <c r="D404" s="319">
        <v>29659.826589595377</v>
      </c>
      <c r="E404" s="319">
        <v>29659.826589595377</v>
      </c>
      <c r="F404" s="319">
        <v>29659.826589595377</v>
      </c>
      <c r="G404" s="319">
        <v>29659.826589595377</v>
      </c>
      <c r="H404" s="520">
        <f t="shared" si="134"/>
        <v>29659.826589595377</v>
      </c>
      <c r="I404" s="39">
        <f t="shared" si="135"/>
        <v>118639.30635838151</v>
      </c>
      <c r="J404" s="2"/>
      <c r="K404" s="189"/>
      <c r="L404" s="2"/>
      <c r="M404" s="2"/>
      <c r="S404" s="523"/>
      <c r="T404" s="523"/>
      <c r="U404" s="523"/>
      <c r="V404" s="523"/>
      <c r="Y404" s="524"/>
    </row>
    <row r="405" spans="1:25" x14ac:dyDescent="0.3">
      <c r="A405" s="36" t="s">
        <v>465</v>
      </c>
      <c r="B405" s="305" t="str">
        <f>IFERROR(I405/I$114,"-")</f>
        <v>-</v>
      </c>
      <c r="C405" s="497"/>
      <c r="D405" s="319">
        <v>0</v>
      </c>
      <c r="E405" s="319">
        <v>0</v>
      </c>
      <c r="F405" s="319">
        <v>0</v>
      </c>
      <c r="G405" s="319">
        <v>0</v>
      </c>
      <c r="H405" s="520">
        <f t="shared" si="134"/>
        <v>0</v>
      </c>
      <c r="I405" s="39">
        <f t="shared" si="135"/>
        <v>0</v>
      </c>
      <c r="J405" s="2"/>
      <c r="K405" s="189"/>
      <c r="L405" s="2"/>
      <c r="M405" s="2"/>
      <c r="S405" s="523"/>
      <c r="T405" s="523"/>
      <c r="U405" s="523"/>
      <c r="V405" s="523"/>
      <c r="Y405" s="524"/>
    </row>
    <row r="406" spans="1:25" x14ac:dyDescent="0.3">
      <c r="A406" s="59" t="s">
        <v>466</v>
      </c>
      <c r="B406" s="469" t="str">
        <f>IFERROR(I406/I$115,"-")</f>
        <v>-</v>
      </c>
      <c r="C406" s="495"/>
      <c r="D406" s="325">
        <v>0</v>
      </c>
      <c r="E406" s="325">
        <v>0</v>
      </c>
      <c r="F406" s="325">
        <v>0</v>
      </c>
      <c r="G406" s="325">
        <v>0</v>
      </c>
      <c r="H406" s="196">
        <f t="shared" si="134"/>
        <v>0</v>
      </c>
      <c r="I406" s="231">
        <f t="shared" si="135"/>
        <v>0</v>
      </c>
      <c r="J406" s="2"/>
      <c r="K406" s="204"/>
      <c r="L406" s="2"/>
      <c r="M406" s="2"/>
      <c r="S406" s="523"/>
      <c r="T406" s="523"/>
      <c r="U406" s="523"/>
      <c r="V406" s="523"/>
      <c r="Y406" s="524"/>
    </row>
    <row r="407" spans="1:25" x14ac:dyDescent="0.3">
      <c r="A407" s="116" t="s">
        <v>468</v>
      </c>
      <c r="B407" s="310" t="str">
        <f>IFERROR(I407/I$116,"-")</f>
        <v>-</v>
      </c>
      <c r="C407" s="499"/>
      <c r="D407" s="297">
        <f>SUM(D408:D411)</f>
        <v>0</v>
      </c>
      <c r="E407" s="297">
        <f t="shared" ref="E407:G407" si="137">SUM(E408:E411)</f>
        <v>0</v>
      </c>
      <c r="F407" s="297">
        <f t="shared" si="137"/>
        <v>0</v>
      </c>
      <c r="G407" s="297">
        <f t="shared" si="137"/>
        <v>0</v>
      </c>
      <c r="H407" s="62">
        <f t="shared" si="134"/>
        <v>0</v>
      </c>
      <c r="I407" s="62">
        <f t="shared" si="135"/>
        <v>0</v>
      </c>
      <c r="J407" s="2"/>
      <c r="K407" s="189"/>
      <c r="L407" s="2"/>
      <c r="M407" s="2"/>
      <c r="S407" s="523"/>
      <c r="T407" s="523"/>
      <c r="U407" s="523"/>
      <c r="V407" s="523"/>
      <c r="Y407" s="524"/>
    </row>
    <row r="408" spans="1:25" x14ac:dyDescent="0.3">
      <c r="A408" s="36" t="s">
        <v>463</v>
      </c>
      <c r="B408" s="305" t="str">
        <f>IFERROR(I408/I$117,"-")</f>
        <v>-</v>
      </c>
      <c r="C408" s="497"/>
      <c r="D408" s="320">
        <v>0</v>
      </c>
      <c r="E408" s="320">
        <v>0</v>
      </c>
      <c r="F408" s="320">
        <v>0</v>
      </c>
      <c r="G408" s="320">
        <v>0</v>
      </c>
      <c r="H408" s="520">
        <f t="shared" si="134"/>
        <v>0</v>
      </c>
      <c r="I408" s="39">
        <f t="shared" si="135"/>
        <v>0</v>
      </c>
      <c r="J408" s="2"/>
      <c r="K408" s="188"/>
      <c r="L408" s="2"/>
      <c r="M408" s="2"/>
      <c r="S408" s="523"/>
      <c r="T408" s="523"/>
      <c r="U408" s="523"/>
      <c r="V408" s="523"/>
      <c r="Y408" s="524"/>
    </row>
    <row r="409" spans="1:25" ht="13.15" customHeight="1" x14ac:dyDescent="0.3">
      <c r="A409" s="36" t="s">
        <v>464</v>
      </c>
      <c r="B409" s="305" t="str">
        <f>IFERROR(I409/I$118,"-")</f>
        <v>-</v>
      </c>
      <c r="C409" s="497"/>
      <c r="D409" s="319">
        <v>0</v>
      </c>
      <c r="E409" s="319">
        <v>0</v>
      </c>
      <c r="F409" s="319">
        <v>0</v>
      </c>
      <c r="G409" s="319">
        <v>0</v>
      </c>
      <c r="H409" s="520">
        <f t="shared" si="134"/>
        <v>0</v>
      </c>
      <c r="I409" s="39">
        <f t="shared" si="135"/>
        <v>0</v>
      </c>
      <c r="J409" s="2"/>
      <c r="K409" s="189"/>
      <c r="L409" s="2"/>
      <c r="M409" s="2"/>
      <c r="S409" s="523"/>
      <c r="T409" s="523"/>
      <c r="U409" s="523"/>
      <c r="V409" s="523"/>
      <c r="Y409" s="524"/>
    </row>
    <row r="410" spans="1:25" x14ac:dyDescent="0.3">
      <c r="A410" s="36" t="s">
        <v>465</v>
      </c>
      <c r="B410" s="305" t="str">
        <f>IFERROR(I410/I$119,"-")</f>
        <v>-</v>
      </c>
      <c r="C410" s="497"/>
      <c r="D410" s="319">
        <v>0</v>
      </c>
      <c r="E410" s="319">
        <v>0</v>
      </c>
      <c r="F410" s="319">
        <v>0</v>
      </c>
      <c r="G410" s="319">
        <v>0</v>
      </c>
      <c r="H410" s="520">
        <f t="shared" si="134"/>
        <v>0</v>
      </c>
      <c r="I410" s="39">
        <f t="shared" si="135"/>
        <v>0</v>
      </c>
      <c r="J410" s="2"/>
      <c r="K410" s="189"/>
      <c r="L410" s="2"/>
      <c r="M410" s="2"/>
      <c r="S410" s="523"/>
      <c r="T410" s="523"/>
      <c r="U410" s="523"/>
      <c r="V410" s="523"/>
      <c r="Y410" s="524"/>
    </row>
    <row r="411" spans="1:25" x14ac:dyDescent="0.3">
      <c r="A411" s="36" t="s">
        <v>466</v>
      </c>
      <c r="B411" s="305" t="str">
        <f>IFERROR(I411/I$120,"-")</f>
        <v>-</v>
      </c>
      <c r="C411" s="497"/>
      <c r="D411" s="319">
        <v>0</v>
      </c>
      <c r="E411" s="319">
        <v>0</v>
      </c>
      <c r="F411" s="319">
        <v>0</v>
      </c>
      <c r="G411" s="319">
        <v>0</v>
      </c>
      <c r="H411" s="520">
        <f t="shared" si="134"/>
        <v>0</v>
      </c>
      <c r="I411" s="39">
        <f t="shared" si="135"/>
        <v>0</v>
      </c>
      <c r="J411" s="2"/>
      <c r="K411" s="189"/>
      <c r="L411" s="2"/>
      <c r="M411" s="2"/>
      <c r="S411" s="523"/>
      <c r="T411" s="523"/>
      <c r="U411" s="523"/>
      <c r="V411" s="523"/>
      <c r="Y411" s="524"/>
    </row>
    <row r="412" spans="1:25" x14ac:dyDescent="0.3">
      <c r="A412" s="116" t="s">
        <v>257</v>
      </c>
      <c r="B412" s="310">
        <f>IFERROR(I412/I$121,"-")</f>
        <v>776.69503794146362</v>
      </c>
      <c r="C412" s="499"/>
      <c r="D412" s="297">
        <f>SUM(D413:D416)</f>
        <v>7957.5144508670519</v>
      </c>
      <c r="E412" s="297">
        <f t="shared" ref="E412:G412" si="138">SUM(E413:E416)</f>
        <v>9229.923984480165</v>
      </c>
      <c r="F412" s="297">
        <f t="shared" si="138"/>
        <v>10127.745664739885</v>
      </c>
      <c r="G412" s="297">
        <f t="shared" si="138"/>
        <v>10551.882175944254</v>
      </c>
      <c r="H412" s="62">
        <f t="shared" si="134"/>
        <v>9466.7665690078393</v>
      </c>
      <c r="I412" s="62">
        <f t="shared" si="135"/>
        <v>37867.066276031357</v>
      </c>
      <c r="J412" s="2"/>
      <c r="K412" s="197"/>
      <c r="L412" s="2"/>
      <c r="M412" s="2"/>
      <c r="S412" s="523"/>
      <c r="T412" s="523"/>
      <c r="U412" s="523"/>
      <c r="V412" s="523"/>
      <c r="Y412" s="524"/>
    </row>
    <row r="413" spans="1:25" x14ac:dyDescent="0.3">
      <c r="A413" s="36" t="s">
        <v>463</v>
      </c>
      <c r="B413" s="305">
        <f>IFERROR(I413/I$122,"-")</f>
        <v>723.41040462427748</v>
      </c>
      <c r="C413" s="497"/>
      <c r="D413" s="319">
        <v>7957.5144508670519</v>
      </c>
      <c r="E413" s="319">
        <v>7957.5144508670519</v>
      </c>
      <c r="F413" s="319">
        <v>7957.5144508670519</v>
      </c>
      <c r="G413" s="319">
        <v>7957.5144508670519</v>
      </c>
      <c r="H413" s="520">
        <f t="shared" si="134"/>
        <v>7957.5144508670519</v>
      </c>
      <c r="I413" s="39">
        <f t="shared" si="135"/>
        <v>31830.057803468208</v>
      </c>
      <c r="J413" s="2"/>
      <c r="K413" s="189"/>
      <c r="L413" s="2"/>
      <c r="M413" s="2"/>
      <c r="S413" s="523"/>
      <c r="T413" s="523"/>
      <c r="U413" s="523"/>
      <c r="V413" s="523"/>
      <c r="Y413" s="524"/>
    </row>
    <row r="414" spans="1:25" x14ac:dyDescent="0.3">
      <c r="A414" s="36" t="s">
        <v>464</v>
      </c>
      <c r="B414" s="305" t="str">
        <f>IFERROR(I414/I$123,"-")</f>
        <v>-</v>
      </c>
      <c r="C414" s="497"/>
      <c r="D414" s="319">
        <v>0</v>
      </c>
      <c r="E414" s="319">
        <v>0</v>
      </c>
      <c r="F414" s="319">
        <v>0</v>
      </c>
      <c r="G414" s="319">
        <v>0</v>
      </c>
      <c r="H414" s="520">
        <f t="shared" si="134"/>
        <v>0</v>
      </c>
      <c r="I414" s="39">
        <f t="shared" si="135"/>
        <v>0</v>
      </c>
      <c r="J414" s="2"/>
      <c r="K414" s="189"/>
      <c r="L414" s="2"/>
      <c r="M414" s="2"/>
      <c r="S414" s="523"/>
      <c r="T414" s="523"/>
      <c r="U414" s="523"/>
      <c r="V414" s="523"/>
      <c r="Y414" s="524"/>
    </row>
    <row r="415" spans="1:25" x14ac:dyDescent="0.3">
      <c r="A415" s="36" t="s">
        <v>465</v>
      </c>
      <c r="B415" s="305" t="str">
        <f>IFERROR(I415/I$124,"-")</f>
        <v>-</v>
      </c>
      <c r="C415" s="497"/>
      <c r="D415" s="319">
        <v>0</v>
      </c>
      <c r="E415" s="319">
        <v>0</v>
      </c>
      <c r="F415" s="319">
        <v>0</v>
      </c>
      <c r="G415" s="319">
        <v>0</v>
      </c>
      <c r="H415" s="520">
        <f t="shared" si="134"/>
        <v>0</v>
      </c>
      <c r="I415" s="39">
        <f t="shared" si="135"/>
        <v>0</v>
      </c>
      <c r="J415" s="2"/>
      <c r="K415" s="189"/>
      <c r="L415" s="2"/>
      <c r="M415" s="2"/>
      <c r="S415" s="523"/>
      <c r="T415" s="523"/>
      <c r="U415" s="523"/>
      <c r="V415" s="523"/>
      <c r="Y415" s="524"/>
    </row>
    <row r="416" spans="1:25" x14ac:dyDescent="0.3">
      <c r="A416" s="59" t="s">
        <v>466</v>
      </c>
      <c r="B416" s="469">
        <f>IFERROR(I416/I$125,"-")</f>
        <v>1269.853506297766</v>
      </c>
      <c r="C416" s="495"/>
      <c r="D416" s="325">
        <v>0</v>
      </c>
      <c r="E416" s="325">
        <v>1272.4095336131127</v>
      </c>
      <c r="F416" s="325">
        <v>2170.2312138728325</v>
      </c>
      <c r="G416" s="325">
        <v>2594.3677250772034</v>
      </c>
      <c r="H416" s="196">
        <f t="shared" si="134"/>
        <v>1509.2521181407872</v>
      </c>
      <c r="I416" s="231">
        <f t="shared" si="135"/>
        <v>6037.0084725631486</v>
      </c>
      <c r="J416" s="2"/>
      <c r="K416" s="204"/>
      <c r="L416" s="2"/>
      <c r="M416" s="2"/>
      <c r="S416" s="523"/>
      <c r="T416" s="523"/>
      <c r="U416" s="523"/>
      <c r="V416" s="523"/>
      <c r="Y416" s="524"/>
    </row>
    <row r="417" spans="1:25" x14ac:dyDescent="0.3">
      <c r="A417" s="116" t="s">
        <v>259</v>
      </c>
      <c r="B417" s="310">
        <f>IFERROR(I417/I$126,"-")</f>
        <v>676.43025040769282</v>
      </c>
      <c r="C417" s="499"/>
      <c r="D417" s="297">
        <f>SUM(D418:D421)</f>
        <v>10851.156069364162</v>
      </c>
      <c r="E417" s="297">
        <f t="shared" ref="E417:G417" si="139">SUM(E418:E421)</f>
        <v>9584.6923746931661</v>
      </c>
      <c r="F417" s="297">
        <f t="shared" si="139"/>
        <v>8680.9248554913302</v>
      </c>
      <c r="G417" s="297">
        <f t="shared" si="139"/>
        <v>8258.7702906009981</v>
      </c>
      <c r="H417" s="62">
        <f t="shared" si="134"/>
        <v>9343.8858975374133</v>
      </c>
      <c r="I417" s="62">
        <f t="shared" si="135"/>
        <v>37375.543590149653</v>
      </c>
      <c r="J417" s="2"/>
      <c r="K417" s="189"/>
      <c r="L417" s="2"/>
      <c r="M417" s="2"/>
      <c r="S417" s="523"/>
      <c r="T417" s="523"/>
      <c r="U417" s="523"/>
      <c r="V417" s="523"/>
      <c r="Y417" s="524"/>
    </row>
    <row r="418" spans="1:25" x14ac:dyDescent="0.3">
      <c r="A418" s="36" t="s">
        <v>463</v>
      </c>
      <c r="B418" s="305">
        <f>IFERROR(I418/I$127,"-")</f>
        <v>553.23672403642342</v>
      </c>
      <c r="C418" s="497"/>
      <c r="D418" s="320">
        <v>3617.0520231213873</v>
      </c>
      <c r="E418" s="320">
        <v>2350.5883284503921</v>
      </c>
      <c r="F418" s="320">
        <v>1446.820809248555</v>
      </c>
      <c r="G418" s="320">
        <v>1024.6662443582231</v>
      </c>
      <c r="H418" s="520">
        <f t="shared" si="134"/>
        <v>2109.7818512946392</v>
      </c>
      <c r="I418" s="39">
        <f t="shared" si="135"/>
        <v>8439.1274051785567</v>
      </c>
      <c r="J418" s="2"/>
      <c r="K418" s="188"/>
      <c r="L418" s="2"/>
      <c r="M418" s="2"/>
      <c r="S418" s="523"/>
      <c r="T418" s="523"/>
      <c r="U418" s="523"/>
      <c r="V418" s="523"/>
      <c r="Y418" s="524"/>
    </row>
    <row r="419" spans="1:25" ht="13.15" customHeight="1" x14ac:dyDescent="0.3">
      <c r="A419" s="36" t="s">
        <v>464</v>
      </c>
      <c r="B419" s="305">
        <f>IFERROR(I419/I$128,"-")</f>
        <v>723.41040462427748</v>
      </c>
      <c r="C419" s="497"/>
      <c r="D419" s="319">
        <v>7234.1040462427745</v>
      </c>
      <c r="E419" s="319">
        <v>7234.1040462427745</v>
      </c>
      <c r="F419" s="319">
        <v>7234.1040462427745</v>
      </c>
      <c r="G419" s="319">
        <v>7234.1040462427745</v>
      </c>
      <c r="H419" s="520">
        <f t="shared" si="134"/>
        <v>7234.1040462427745</v>
      </c>
      <c r="I419" s="39">
        <f t="shared" si="135"/>
        <v>28936.416184971098</v>
      </c>
      <c r="J419" s="2"/>
      <c r="K419" s="189"/>
      <c r="L419" s="2"/>
      <c r="M419" s="2"/>
      <c r="S419" s="523"/>
      <c r="T419" s="523"/>
      <c r="U419" s="523"/>
      <c r="V419" s="523"/>
      <c r="Y419" s="524"/>
    </row>
    <row r="420" spans="1:25" x14ac:dyDescent="0.3">
      <c r="A420" s="36" t="s">
        <v>465</v>
      </c>
      <c r="B420" s="305" t="str">
        <f>IFERROR(I420/I$129,"-")</f>
        <v>-</v>
      </c>
      <c r="C420" s="497"/>
      <c r="D420" s="319">
        <v>0</v>
      </c>
      <c r="E420" s="319">
        <v>0</v>
      </c>
      <c r="F420" s="319">
        <v>0</v>
      </c>
      <c r="G420" s="319">
        <v>0</v>
      </c>
      <c r="H420" s="520">
        <f t="shared" si="134"/>
        <v>0</v>
      </c>
      <c r="I420" s="39">
        <f t="shared" si="135"/>
        <v>0</v>
      </c>
      <c r="J420" s="2"/>
      <c r="K420" s="189"/>
      <c r="L420" s="2"/>
      <c r="M420" s="2"/>
      <c r="S420" s="523"/>
      <c r="T420" s="523"/>
      <c r="U420" s="523"/>
      <c r="V420" s="523"/>
      <c r="Y420" s="524"/>
    </row>
    <row r="421" spans="1:25" x14ac:dyDescent="0.3">
      <c r="A421" s="36" t="s">
        <v>466</v>
      </c>
      <c r="B421" s="305" t="str">
        <f>IFERROR(I421/I$130,"-")</f>
        <v>-</v>
      </c>
      <c r="C421" s="497"/>
      <c r="D421" s="319">
        <v>0</v>
      </c>
      <c r="E421" s="319">
        <v>0</v>
      </c>
      <c r="F421" s="319">
        <v>0</v>
      </c>
      <c r="G421" s="319">
        <v>0</v>
      </c>
      <c r="H421" s="520">
        <f t="shared" si="134"/>
        <v>0</v>
      </c>
      <c r="I421" s="39">
        <f t="shared" si="135"/>
        <v>0</v>
      </c>
      <c r="J421" s="2"/>
      <c r="K421" s="189"/>
      <c r="L421" s="2"/>
      <c r="M421" s="2"/>
      <c r="S421" s="523"/>
      <c r="T421" s="523"/>
      <c r="U421" s="523"/>
      <c r="V421" s="523"/>
      <c r="Y421" s="524"/>
    </row>
    <row r="422" spans="1:25" x14ac:dyDescent="0.3">
      <c r="A422" s="116" t="s">
        <v>447</v>
      </c>
      <c r="B422" s="310" t="str">
        <f>IFERROR(I422/I$131,"-")</f>
        <v>-</v>
      </c>
      <c r="C422" s="499"/>
      <c r="D422" s="297">
        <f>SUM(D423:D426)</f>
        <v>0</v>
      </c>
      <c r="E422" s="297">
        <f t="shared" ref="E422:G422" si="140">SUM(E423:E426)</f>
        <v>0</v>
      </c>
      <c r="F422" s="297">
        <f t="shared" si="140"/>
        <v>0</v>
      </c>
      <c r="G422" s="297">
        <f t="shared" si="140"/>
        <v>0</v>
      </c>
      <c r="H422" s="62">
        <f t="shared" si="134"/>
        <v>0</v>
      </c>
      <c r="I422" s="62">
        <f t="shared" si="135"/>
        <v>0</v>
      </c>
      <c r="J422" s="2"/>
      <c r="K422" s="197"/>
      <c r="L422" s="2"/>
      <c r="M422" s="2"/>
      <c r="S422" s="523"/>
      <c r="T422" s="523"/>
      <c r="U422" s="523"/>
      <c r="V422" s="523"/>
      <c r="Y422" s="524"/>
    </row>
    <row r="423" spans="1:25" x14ac:dyDescent="0.3">
      <c r="A423" s="36" t="s">
        <v>463</v>
      </c>
      <c r="B423" s="305" t="str">
        <f>IFERROR(I423/I$132,"-")</f>
        <v>-</v>
      </c>
      <c r="C423" s="497"/>
      <c r="D423" s="319">
        <v>0</v>
      </c>
      <c r="E423" s="319">
        <v>0</v>
      </c>
      <c r="F423" s="319">
        <v>0</v>
      </c>
      <c r="G423" s="319">
        <v>0</v>
      </c>
      <c r="H423" s="520">
        <f t="shared" si="134"/>
        <v>0</v>
      </c>
      <c r="I423" s="39">
        <f t="shared" si="135"/>
        <v>0</v>
      </c>
      <c r="J423" s="2"/>
      <c r="K423" s="189"/>
      <c r="L423" s="2"/>
      <c r="M423" s="2"/>
      <c r="S423" s="523"/>
      <c r="T423" s="523"/>
      <c r="U423" s="523"/>
      <c r="V423" s="523"/>
      <c r="Y423" s="524"/>
    </row>
    <row r="424" spans="1:25" x14ac:dyDescent="0.3">
      <c r="A424" s="36" t="s">
        <v>464</v>
      </c>
      <c r="B424" s="305" t="str">
        <f>IFERROR(I424/I$133,"-")</f>
        <v>-</v>
      </c>
      <c r="C424" s="497"/>
      <c r="D424" s="319">
        <v>0</v>
      </c>
      <c r="E424" s="319">
        <v>0</v>
      </c>
      <c r="F424" s="319">
        <v>0</v>
      </c>
      <c r="G424" s="319">
        <v>0</v>
      </c>
      <c r="H424" s="520">
        <f t="shared" si="134"/>
        <v>0</v>
      </c>
      <c r="I424" s="39">
        <f t="shared" si="135"/>
        <v>0</v>
      </c>
      <c r="J424" s="2"/>
      <c r="K424" s="189"/>
      <c r="L424" s="2"/>
      <c r="M424" s="2"/>
      <c r="S424" s="523"/>
      <c r="T424" s="523"/>
      <c r="U424" s="523"/>
      <c r="V424" s="523"/>
      <c r="Y424" s="524"/>
    </row>
    <row r="425" spans="1:25" x14ac:dyDescent="0.3">
      <c r="A425" s="36" t="s">
        <v>465</v>
      </c>
      <c r="B425" s="305" t="str">
        <f>IFERROR(I425/I$134,"-")</f>
        <v>-</v>
      </c>
      <c r="C425" s="497"/>
      <c r="D425" s="319">
        <v>0</v>
      </c>
      <c r="E425" s="319">
        <v>0</v>
      </c>
      <c r="F425" s="319">
        <v>0</v>
      </c>
      <c r="G425" s="319">
        <v>0</v>
      </c>
      <c r="H425" s="520">
        <f t="shared" si="134"/>
        <v>0</v>
      </c>
      <c r="I425" s="39">
        <f t="shared" si="135"/>
        <v>0</v>
      </c>
      <c r="J425" s="2"/>
      <c r="K425" s="189"/>
      <c r="L425" s="2"/>
      <c r="M425" s="2"/>
      <c r="S425" s="523"/>
      <c r="T425" s="523"/>
      <c r="U425" s="523"/>
      <c r="V425" s="523"/>
      <c r="Y425" s="524"/>
    </row>
    <row r="426" spans="1:25" x14ac:dyDescent="0.3">
      <c r="A426" s="59" t="s">
        <v>466</v>
      </c>
      <c r="B426" s="469" t="str">
        <f>IFERROR(I426/I$135,"-")</f>
        <v>-</v>
      </c>
      <c r="C426" s="495"/>
      <c r="D426" s="325">
        <v>0</v>
      </c>
      <c r="E426" s="325">
        <v>0</v>
      </c>
      <c r="F426" s="325">
        <v>0</v>
      </c>
      <c r="G426" s="325">
        <v>0</v>
      </c>
      <c r="H426" s="196">
        <f t="shared" si="134"/>
        <v>0</v>
      </c>
      <c r="I426" s="231">
        <f t="shared" si="135"/>
        <v>0</v>
      </c>
      <c r="J426" s="2"/>
      <c r="K426" s="204"/>
      <c r="L426" s="2"/>
      <c r="M426" s="2"/>
      <c r="S426" s="523"/>
      <c r="T426" s="523"/>
      <c r="U426" s="523"/>
      <c r="V426" s="523"/>
      <c r="Y426" s="524"/>
    </row>
    <row r="427" spans="1:25" x14ac:dyDescent="0.3">
      <c r="A427" s="115" t="s">
        <v>359</v>
      </c>
      <c r="B427" s="53"/>
      <c r="C427" s="474"/>
      <c r="D427" s="223">
        <f t="shared" ref="D427:G427" si="141">SUM(D428:D434)</f>
        <v>240000</v>
      </c>
      <c r="E427" s="223">
        <f t="shared" si="141"/>
        <v>240000</v>
      </c>
      <c r="F427" s="223">
        <f t="shared" ref="F427" si="142">SUM(F428:F434)</f>
        <v>240000</v>
      </c>
      <c r="G427" s="223">
        <f t="shared" si="141"/>
        <v>240000</v>
      </c>
      <c r="H427" s="300">
        <f t="shared" si="134"/>
        <v>240000</v>
      </c>
      <c r="I427" s="300">
        <f t="shared" si="135"/>
        <v>960000</v>
      </c>
      <c r="J427" s="2"/>
      <c r="K427" s="197"/>
      <c r="L427" s="2"/>
      <c r="M427" s="2"/>
    </row>
    <row r="428" spans="1:25" x14ac:dyDescent="0.3">
      <c r="A428" s="339" t="s">
        <v>483</v>
      </c>
      <c r="B428" s="37">
        <f>IFERROR(I428/I$136,"-")</f>
        <v>1098.0867609613204</v>
      </c>
      <c r="C428" s="497"/>
      <c r="D428" s="320">
        <v>205000</v>
      </c>
      <c r="E428" s="320">
        <v>205000</v>
      </c>
      <c r="F428" s="320">
        <v>205000</v>
      </c>
      <c r="G428" s="320">
        <v>205000</v>
      </c>
      <c r="H428" s="520">
        <f t="shared" si="134"/>
        <v>205000</v>
      </c>
      <c r="I428" s="39">
        <f t="shared" si="135"/>
        <v>820000</v>
      </c>
      <c r="J428" s="2"/>
      <c r="K428" s="188"/>
      <c r="L428" s="2"/>
      <c r="M428" s="2"/>
    </row>
    <row r="429" spans="1:25" ht="13.15" customHeight="1" x14ac:dyDescent="0.3">
      <c r="A429" s="339" t="s">
        <v>484</v>
      </c>
      <c r="B429" s="37">
        <f t="shared" ref="B429:B434" si="143">IFERROR(I429/I$136,"-")</f>
        <v>187.47822748120103</v>
      </c>
      <c r="C429" s="497"/>
      <c r="D429" s="319">
        <v>35000</v>
      </c>
      <c r="E429" s="319">
        <v>35000</v>
      </c>
      <c r="F429" s="319">
        <v>35000</v>
      </c>
      <c r="G429" s="319">
        <v>35000</v>
      </c>
      <c r="H429" s="520">
        <f t="shared" ref="H429:H435" si="144">IFERROR(AVERAGE(C429:G429),0)</f>
        <v>35000</v>
      </c>
      <c r="I429" s="39">
        <f t="shared" ref="I429:I435" si="145">SUM(C429:G429)</f>
        <v>140000</v>
      </c>
      <c r="J429" s="2"/>
      <c r="K429" s="189"/>
      <c r="L429" s="2"/>
      <c r="M429" s="2"/>
    </row>
    <row r="430" spans="1:25" x14ac:dyDescent="0.3">
      <c r="A430" s="339"/>
      <c r="B430" s="37">
        <f t="shared" si="143"/>
        <v>0</v>
      </c>
      <c r="C430" s="497"/>
      <c r="D430" s="319"/>
      <c r="E430" s="319"/>
      <c r="F430" s="319"/>
      <c r="G430" s="319"/>
      <c r="H430" s="520">
        <f t="shared" si="144"/>
        <v>0</v>
      </c>
      <c r="I430" s="39">
        <f t="shared" si="145"/>
        <v>0</v>
      </c>
      <c r="J430" s="2"/>
      <c r="K430" s="189"/>
      <c r="L430" s="2"/>
      <c r="M430" s="2"/>
    </row>
    <row r="431" spans="1:25" x14ac:dyDescent="0.3">
      <c r="A431" s="339"/>
      <c r="B431" s="37">
        <f t="shared" si="143"/>
        <v>0</v>
      </c>
      <c r="C431" s="497"/>
      <c r="D431" s="319"/>
      <c r="E431" s="319"/>
      <c r="F431" s="319"/>
      <c r="G431" s="319"/>
      <c r="H431" s="520">
        <f t="shared" si="144"/>
        <v>0</v>
      </c>
      <c r="I431" s="39">
        <f t="shared" si="145"/>
        <v>0</v>
      </c>
      <c r="J431" s="2"/>
      <c r="K431" s="189"/>
      <c r="L431" s="2"/>
      <c r="M431" s="2"/>
    </row>
    <row r="432" spans="1:25" x14ac:dyDescent="0.3">
      <c r="A432" s="339"/>
      <c r="B432" s="37">
        <f t="shared" si="143"/>
        <v>0</v>
      </c>
      <c r="C432" s="497"/>
      <c r="D432" s="319"/>
      <c r="E432" s="319"/>
      <c r="F432" s="319"/>
      <c r="G432" s="319"/>
      <c r="H432" s="520">
        <f t="shared" si="144"/>
        <v>0</v>
      </c>
      <c r="I432" s="39">
        <f t="shared" si="145"/>
        <v>0</v>
      </c>
      <c r="J432" s="2"/>
      <c r="K432" s="189"/>
      <c r="L432" s="2"/>
      <c r="M432" s="2"/>
    </row>
    <row r="433" spans="1:13" x14ac:dyDescent="0.3">
      <c r="A433" s="339"/>
      <c r="B433" s="37">
        <f t="shared" si="143"/>
        <v>0</v>
      </c>
      <c r="C433" s="497"/>
      <c r="D433" s="319"/>
      <c r="E433" s="319"/>
      <c r="F433" s="319"/>
      <c r="G433" s="319"/>
      <c r="H433" s="520">
        <f t="shared" si="144"/>
        <v>0</v>
      </c>
      <c r="I433" s="39">
        <f t="shared" si="145"/>
        <v>0</v>
      </c>
      <c r="J433" s="2"/>
      <c r="K433" s="189"/>
      <c r="L433" s="2"/>
      <c r="M433" s="2"/>
    </row>
    <row r="434" spans="1:13" x14ac:dyDescent="0.3">
      <c r="A434" s="340"/>
      <c r="B434" s="79">
        <f t="shared" si="143"/>
        <v>0</v>
      </c>
      <c r="C434" s="495"/>
      <c r="D434" s="325"/>
      <c r="E434" s="325"/>
      <c r="F434" s="325"/>
      <c r="G434" s="325"/>
      <c r="H434" s="196">
        <f t="shared" si="144"/>
        <v>0</v>
      </c>
      <c r="I434" s="231">
        <f t="shared" si="145"/>
        <v>0</v>
      </c>
      <c r="J434" s="2"/>
      <c r="K434" s="204"/>
      <c r="L434" s="2"/>
      <c r="M434" s="2"/>
    </row>
    <row r="435" spans="1:13" x14ac:dyDescent="0.3">
      <c r="A435" s="18" t="s">
        <v>7</v>
      </c>
      <c r="B435" s="165">
        <f>IFERROR(I365/I$136,"-")</f>
        <v>0</v>
      </c>
      <c r="C435" s="476"/>
      <c r="D435" s="19">
        <f t="shared" ref="D435:G435" si="146">D334+D365+D396+D427</f>
        <v>1022949.5312376278</v>
      </c>
      <c r="E435" s="19">
        <f t="shared" si="146"/>
        <v>1022864.4888748119</v>
      </c>
      <c r="F435" s="19">
        <f t="shared" ref="F435" si="147">F334+F365+F396+F427</f>
        <v>1022900.7906124641</v>
      </c>
      <c r="G435" s="19">
        <f t="shared" si="146"/>
        <v>1025454.0406999764</v>
      </c>
      <c r="H435" s="20">
        <f t="shared" si="144"/>
        <v>1023542.2128562201</v>
      </c>
      <c r="I435" s="35">
        <f t="shared" si="145"/>
        <v>4094168.8514248803</v>
      </c>
      <c r="J435" s="2"/>
      <c r="K435" s="197"/>
      <c r="L435" s="2"/>
      <c r="M435" s="2"/>
    </row>
    <row r="436" spans="1:13" x14ac:dyDescent="0.3">
      <c r="C436" s="164"/>
      <c r="D436" s="164"/>
      <c r="E436" s="164"/>
      <c r="F436" s="164"/>
      <c r="G436" s="164"/>
      <c r="H436" s="164"/>
      <c r="I436" s="164"/>
      <c r="J436" s="2"/>
      <c r="L436" s="2"/>
      <c r="M436" s="2"/>
    </row>
    <row r="437" spans="1:13" x14ac:dyDescent="0.3">
      <c r="C437" s="164"/>
      <c r="D437" s="164"/>
      <c r="E437" s="164"/>
      <c r="F437" s="164"/>
      <c r="G437" s="164"/>
      <c r="H437" s="164"/>
      <c r="I437" s="164"/>
      <c r="J437" s="2"/>
      <c r="L437" s="2"/>
      <c r="M437" s="2"/>
    </row>
    <row r="438" spans="1:13" x14ac:dyDescent="0.3">
      <c r="A438" s="21" t="s">
        <v>78</v>
      </c>
      <c r="B438" s="154"/>
      <c r="C438" s="155"/>
      <c r="D438" s="155"/>
      <c r="E438" s="155"/>
      <c r="F438" s="155"/>
      <c r="G438" s="155"/>
      <c r="H438" s="155"/>
      <c r="I438" s="155"/>
      <c r="J438" s="155"/>
      <c r="K438" s="155"/>
      <c r="L438" s="2"/>
      <c r="M438" s="2"/>
    </row>
    <row r="439" spans="1:13" ht="14.5" x14ac:dyDescent="0.35">
      <c r="C439" s="2"/>
      <c r="D439" s="2"/>
      <c r="E439" s="2"/>
      <c r="F439" s="2"/>
      <c r="G439" s="2"/>
      <c r="H439" s="2"/>
      <c r="I439" s="2"/>
      <c r="J439" s="2"/>
      <c r="K439"/>
      <c r="L439" s="2"/>
      <c r="M439" s="2"/>
    </row>
    <row r="440" spans="1:13" x14ac:dyDescent="0.3">
      <c r="A440" s="42" t="s">
        <v>69</v>
      </c>
      <c r="B440" s="43"/>
      <c r="C440" s="44"/>
      <c r="D440" s="44"/>
      <c r="E440" s="44"/>
      <c r="F440" s="44"/>
      <c r="G440" s="44"/>
      <c r="H440" s="44"/>
      <c r="I440" s="44"/>
      <c r="J440" s="44"/>
      <c r="K440" s="44"/>
      <c r="L440" s="2"/>
      <c r="M440" s="2"/>
    </row>
    <row r="441" spans="1:13" x14ac:dyDescent="0.3">
      <c r="C441" s="2"/>
      <c r="D441" s="2"/>
      <c r="E441" s="2"/>
      <c r="F441" s="2"/>
      <c r="G441" s="2"/>
      <c r="H441" s="2"/>
      <c r="I441" s="2"/>
      <c r="J441" s="2"/>
      <c r="K441" s="2"/>
      <c r="L441" s="2"/>
      <c r="M441" s="2"/>
    </row>
    <row r="442" spans="1:13" ht="52.15" customHeight="1" x14ac:dyDescent="0.3">
      <c r="A442" s="45" t="s">
        <v>409</v>
      </c>
      <c r="B442" s="46" t="s">
        <v>184</v>
      </c>
      <c r="C442" s="47" t="s">
        <v>18</v>
      </c>
      <c r="D442" s="47" t="s">
        <v>74</v>
      </c>
      <c r="E442" s="2"/>
      <c r="F442" s="2"/>
      <c r="G442" s="2"/>
      <c r="H442" s="2"/>
      <c r="I442" s="2"/>
      <c r="J442" s="2"/>
      <c r="K442" s="2"/>
      <c r="L442" s="2"/>
      <c r="M442" s="2"/>
    </row>
    <row r="443" spans="1:13" x14ac:dyDescent="0.3">
      <c r="A443" s="36" t="s">
        <v>274</v>
      </c>
      <c r="B443" s="328">
        <v>26.15</v>
      </c>
      <c r="C443" s="329">
        <v>38.442907173716435</v>
      </c>
      <c r="D443" s="323">
        <v>1593</v>
      </c>
      <c r="E443" s="2"/>
      <c r="F443" s="2"/>
      <c r="G443" s="2"/>
      <c r="H443" s="2"/>
      <c r="I443" s="2"/>
      <c r="J443" s="2"/>
      <c r="K443" s="2"/>
      <c r="L443" s="2"/>
      <c r="M443" s="2"/>
    </row>
    <row r="444" spans="1:13" x14ac:dyDescent="0.3">
      <c r="A444" s="36" t="s">
        <v>405</v>
      </c>
      <c r="B444" s="328">
        <v>21.58</v>
      </c>
      <c r="C444" s="329">
        <v>31.717958616404992</v>
      </c>
      <c r="D444" s="323">
        <v>1593</v>
      </c>
      <c r="E444" s="2"/>
      <c r="F444" s="2"/>
      <c r="G444" s="2"/>
      <c r="H444" s="2"/>
      <c r="I444" s="2"/>
      <c r="J444" s="2"/>
      <c r="K444" s="2"/>
      <c r="L444" s="2"/>
      <c r="M444" s="2"/>
    </row>
    <row r="445" spans="1:13" x14ac:dyDescent="0.3">
      <c r="A445" s="36" t="s">
        <v>406</v>
      </c>
      <c r="B445" s="328">
        <v>0</v>
      </c>
      <c r="C445" s="329">
        <v>0</v>
      </c>
      <c r="D445" s="329">
        <v>0</v>
      </c>
      <c r="E445" s="2"/>
      <c r="F445" s="2"/>
      <c r="G445" s="2"/>
      <c r="H445" s="2"/>
      <c r="I445" s="2"/>
      <c r="J445" s="2"/>
      <c r="K445" s="2"/>
      <c r="L445" s="2"/>
      <c r="M445" s="2"/>
    </row>
    <row r="446" spans="1:13" x14ac:dyDescent="0.3">
      <c r="A446" s="36"/>
      <c r="B446" s="328"/>
      <c r="C446" s="329"/>
      <c r="D446" s="323"/>
      <c r="E446" s="2"/>
      <c r="F446" s="2"/>
      <c r="G446" s="2"/>
      <c r="H446" s="2"/>
      <c r="I446" s="2"/>
      <c r="J446" s="2"/>
      <c r="K446" s="2"/>
      <c r="L446" s="2"/>
      <c r="M446" s="2"/>
    </row>
    <row r="447" spans="1:13" x14ac:dyDescent="0.3">
      <c r="A447" s="36"/>
      <c r="B447" s="328"/>
      <c r="C447" s="329"/>
      <c r="D447" s="329"/>
      <c r="E447" s="2"/>
      <c r="F447" s="2"/>
      <c r="G447" s="2"/>
      <c r="H447" s="2"/>
      <c r="I447" s="2"/>
      <c r="J447" s="2"/>
      <c r="K447" s="2"/>
      <c r="L447" s="2"/>
      <c r="M447" s="2"/>
    </row>
    <row r="448" spans="1:13" x14ac:dyDescent="0.3">
      <c r="A448" s="91"/>
      <c r="B448" s="330"/>
      <c r="C448" s="331"/>
      <c r="D448" s="331"/>
      <c r="E448" s="2"/>
      <c r="F448" s="2"/>
      <c r="G448" s="2"/>
      <c r="H448" s="2"/>
      <c r="I448" s="2"/>
      <c r="J448" s="2"/>
      <c r="K448" s="2"/>
      <c r="L448" s="2"/>
      <c r="M448" s="2"/>
    </row>
    <row r="449" spans="1:16" x14ac:dyDescent="0.3">
      <c r="B449" s="11"/>
      <c r="I449" s="2"/>
      <c r="K449" s="2"/>
    </row>
    <row r="450" spans="1:16" ht="26" x14ac:dyDescent="0.3">
      <c r="A450" s="668" t="s">
        <v>410</v>
      </c>
      <c r="B450" s="655"/>
      <c r="C450" s="3" t="str">
        <f>Annee0</f>
        <v>Année 0</v>
      </c>
      <c r="D450" s="3" t="str">
        <f>Annee1</f>
        <v>Année 1</v>
      </c>
      <c r="E450" s="3" t="str">
        <f>Annee2</f>
        <v>Année 2</v>
      </c>
      <c r="F450" s="3" t="str">
        <f>Annee3</f>
        <v>Année 3</v>
      </c>
      <c r="G450" s="3" t="str">
        <f>Annee4</f>
        <v>Année 4</v>
      </c>
      <c r="H450" s="181" t="s">
        <v>256</v>
      </c>
      <c r="I450" s="4" t="s">
        <v>59</v>
      </c>
      <c r="K450" s="187" t="s">
        <v>290</v>
      </c>
    </row>
    <row r="451" spans="1:16" x14ac:dyDescent="0.3">
      <c r="A451" s="667"/>
      <c r="B451" s="656"/>
      <c r="C451" s="77">
        <v>12</v>
      </c>
      <c r="D451" s="77">
        <v>12</v>
      </c>
      <c r="E451" s="77">
        <v>12</v>
      </c>
      <c r="F451" s="77">
        <v>12</v>
      </c>
      <c r="G451" s="77">
        <v>12</v>
      </c>
      <c r="H451" s="78">
        <f t="shared" ref="H451:H457" si="148">IFERROR(AVERAGE(C451:G451),0)</f>
        <v>12</v>
      </c>
      <c r="I451" s="78">
        <f t="shared" ref="I451:I457" si="149">SUM(C451:G451)</f>
        <v>60</v>
      </c>
      <c r="K451" s="195"/>
    </row>
    <row r="452" spans="1:16" x14ac:dyDescent="0.3">
      <c r="A452" s="25" t="s">
        <v>417</v>
      </c>
      <c r="B452" s="37"/>
      <c r="C452" s="496"/>
      <c r="D452" s="322">
        <v>225364.68831233133</v>
      </c>
      <c r="E452" s="322">
        <v>225364.68831233133</v>
      </c>
      <c r="F452" s="322">
        <v>225364.68831233133</v>
      </c>
      <c r="G452" s="322">
        <v>225364.68831233133</v>
      </c>
      <c r="H452" s="14">
        <f t="shared" si="148"/>
        <v>225364.68831233133</v>
      </c>
      <c r="I452" s="39">
        <f t="shared" si="149"/>
        <v>901458.75324932532</v>
      </c>
      <c r="K452" s="189"/>
      <c r="P452" s="527"/>
    </row>
    <row r="453" spans="1:16" x14ac:dyDescent="0.3">
      <c r="A453" s="25" t="s">
        <v>418</v>
      </c>
      <c r="B453" s="37"/>
      <c r="C453" s="496"/>
      <c r="D453" s="322">
        <v>367745.81289979105</v>
      </c>
      <c r="E453" s="322">
        <v>367745.81289979105</v>
      </c>
      <c r="F453" s="322">
        <v>367745.812899791</v>
      </c>
      <c r="G453" s="322">
        <v>367745.81289979111</v>
      </c>
      <c r="H453" s="14">
        <f t="shared" si="148"/>
        <v>367745.81289979105</v>
      </c>
      <c r="I453" s="39">
        <f t="shared" si="149"/>
        <v>1470983.2515991642</v>
      </c>
      <c r="K453" s="189"/>
      <c r="P453" s="527"/>
    </row>
    <row r="454" spans="1:16" x14ac:dyDescent="0.3">
      <c r="A454" s="25" t="s">
        <v>428</v>
      </c>
      <c r="B454" s="37"/>
      <c r="C454" s="496"/>
      <c r="D454" s="322">
        <v>246075.15497899789</v>
      </c>
      <c r="E454" s="322">
        <v>246075.15497899789</v>
      </c>
      <c r="F454" s="322">
        <v>246075.15497899789</v>
      </c>
      <c r="G454" s="322">
        <v>246075.15497899789</v>
      </c>
      <c r="H454" s="14">
        <f t="shared" si="148"/>
        <v>246075.15497899789</v>
      </c>
      <c r="I454" s="39">
        <f t="shared" si="149"/>
        <v>984300.61991599156</v>
      </c>
      <c r="K454" s="189"/>
      <c r="P454" s="527"/>
    </row>
    <row r="455" spans="1:16" x14ac:dyDescent="0.3">
      <c r="A455" s="25" t="s">
        <v>429</v>
      </c>
      <c r="B455" s="37"/>
      <c r="C455" s="496"/>
      <c r="D455" s="322">
        <v>522511.62939348526</v>
      </c>
      <c r="E455" s="322">
        <v>522511.62939348526</v>
      </c>
      <c r="F455" s="322">
        <v>522511.62939348514</v>
      </c>
      <c r="G455" s="322">
        <v>522511.62939348532</v>
      </c>
      <c r="H455" s="14">
        <f t="shared" si="148"/>
        <v>522511.62939348526</v>
      </c>
      <c r="I455" s="39">
        <f t="shared" si="149"/>
        <v>2090046.517573941</v>
      </c>
      <c r="K455" s="189"/>
      <c r="P455" s="527"/>
    </row>
    <row r="456" spans="1:16" x14ac:dyDescent="0.3">
      <c r="A456" s="25" t="s">
        <v>407</v>
      </c>
      <c r="B456" s="37"/>
      <c r="C456" s="496"/>
      <c r="D456" s="322">
        <v>33134.400000000001</v>
      </c>
      <c r="E456" s="322">
        <v>33134.400000000001</v>
      </c>
      <c r="F456" s="322">
        <v>33134.400000000001</v>
      </c>
      <c r="G456" s="322">
        <v>33134.400000000001</v>
      </c>
      <c r="H456" s="14">
        <f t="shared" si="148"/>
        <v>33134.400000000001</v>
      </c>
      <c r="I456" s="39">
        <f t="shared" si="149"/>
        <v>132537.60000000001</v>
      </c>
      <c r="K456" s="189"/>
      <c r="P456" s="527"/>
    </row>
    <row r="457" spans="1:16" x14ac:dyDescent="0.3">
      <c r="A457" s="59" t="s">
        <v>408</v>
      </c>
      <c r="B457" s="79"/>
      <c r="C457" s="495"/>
      <c r="D457" s="325">
        <v>0</v>
      </c>
      <c r="E457" s="325">
        <v>0</v>
      </c>
      <c r="F457" s="325">
        <v>0</v>
      </c>
      <c r="G457" s="325">
        <v>0</v>
      </c>
      <c r="H457" s="16">
        <f t="shared" si="148"/>
        <v>0</v>
      </c>
      <c r="I457" s="231">
        <f t="shared" si="149"/>
        <v>0</v>
      </c>
      <c r="K457" s="204"/>
      <c r="P457" s="527"/>
    </row>
    <row r="458" spans="1:16" x14ac:dyDescent="0.3">
      <c r="B458" s="11"/>
      <c r="C458" s="245"/>
      <c r="I458" s="2"/>
      <c r="K458" s="2"/>
    </row>
    <row r="459" spans="1:16" ht="26" x14ac:dyDescent="0.3">
      <c r="A459" s="668" t="s">
        <v>73</v>
      </c>
      <c r="B459" s="655"/>
      <c r="C459" s="3" t="str">
        <f>Annee0</f>
        <v>Année 0</v>
      </c>
      <c r="D459" s="3" t="str">
        <f>Annee1</f>
        <v>Année 1</v>
      </c>
      <c r="E459" s="3" t="str">
        <f>Annee2</f>
        <v>Année 2</v>
      </c>
      <c r="F459" s="3" t="str">
        <f>Annee3</f>
        <v>Année 3</v>
      </c>
      <c r="G459" s="3" t="str">
        <f>Annee4</f>
        <v>Année 4</v>
      </c>
      <c r="H459" s="181" t="s">
        <v>256</v>
      </c>
      <c r="I459" s="4" t="s">
        <v>59</v>
      </c>
      <c r="K459" s="187" t="s">
        <v>290</v>
      </c>
    </row>
    <row r="460" spans="1:16" ht="14.5" customHeight="1" x14ac:dyDescent="0.3">
      <c r="A460" s="667"/>
      <c r="B460" s="656"/>
      <c r="C460" s="77">
        <v>12</v>
      </c>
      <c r="D460" s="77">
        <v>12</v>
      </c>
      <c r="E460" s="77">
        <v>12</v>
      </c>
      <c r="F460" s="77">
        <v>12</v>
      </c>
      <c r="G460" s="77">
        <v>12</v>
      </c>
      <c r="H460" s="78">
        <f t="shared" ref="H460:H467" si="150">IFERROR(AVERAGE(C460:G460),0)</f>
        <v>12</v>
      </c>
      <c r="I460" s="78">
        <f t="shared" ref="I460:I467" si="151">SUM(C460:G460)</f>
        <v>60</v>
      </c>
      <c r="K460" s="195"/>
    </row>
    <row r="461" spans="1:16" x14ac:dyDescent="0.3">
      <c r="A461" s="36" t="s">
        <v>274</v>
      </c>
      <c r="B461" s="37"/>
      <c r="C461" s="498"/>
      <c r="D461" s="333">
        <v>392.77821917808217</v>
      </c>
      <c r="E461" s="333">
        <v>394.29465753424654</v>
      </c>
      <c r="F461" s="333">
        <v>395.29459016393452</v>
      </c>
      <c r="G461" s="333">
        <v>396.29739726027395</v>
      </c>
      <c r="H461" s="230">
        <f t="shared" si="150"/>
        <v>394.66621603413432</v>
      </c>
      <c r="I461" s="161">
        <f t="shared" si="151"/>
        <v>1578.6648641365373</v>
      </c>
      <c r="K461" s="188"/>
    </row>
    <row r="462" spans="1:16" x14ac:dyDescent="0.3">
      <c r="A462" s="36" t="s">
        <v>405</v>
      </c>
      <c r="B462" s="37"/>
      <c r="C462" s="498"/>
      <c r="D462" s="332">
        <v>20.8</v>
      </c>
      <c r="E462" s="332">
        <v>20.8</v>
      </c>
      <c r="F462" s="332">
        <v>20.802732240437159</v>
      </c>
      <c r="G462" s="332">
        <v>20.8</v>
      </c>
      <c r="H462" s="521">
        <f t="shared" si="150"/>
        <v>20.800683060109289</v>
      </c>
      <c r="I462" s="161">
        <f t="shared" si="151"/>
        <v>83.202732240437157</v>
      </c>
      <c r="K462" s="189"/>
    </row>
    <row r="463" spans="1:16" x14ac:dyDescent="0.3">
      <c r="A463" s="36" t="s">
        <v>406</v>
      </c>
      <c r="B463" s="37"/>
      <c r="C463" s="496"/>
      <c r="D463" s="322">
        <v>0</v>
      </c>
      <c r="E463" s="322">
        <v>0</v>
      </c>
      <c r="F463" s="322">
        <v>0</v>
      </c>
      <c r="G463" s="322">
        <v>0</v>
      </c>
      <c r="H463" s="521">
        <f t="shared" si="150"/>
        <v>0</v>
      </c>
      <c r="I463" s="161">
        <f t="shared" si="151"/>
        <v>0</v>
      </c>
      <c r="K463" s="189"/>
      <c r="P463" s="172"/>
    </row>
    <row r="464" spans="1:16" x14ac:dyDescent="0.3">
      <c r="A464" s="36"/>
      <c r="B464" s="37"/>
      <c r="C464" s="496"/>
      <c r="D464" s="322"/>
      <c r="E464" s="322"/>
      <c r="F464" s="322"/>
      <c r="G464" s="322"/>
      <c r="H464" s="521">
        <f t="shared" si="150"/>
        <v>0</v>
      </c>
      <c r="I464" s="161">
        <f t="shared" si="151"/>
        <v>0</v>
      </c>
      <c r="K464" s="189"/>
    </row>
    <row r="465" spans="1:11" x14ac:dyDescent="0.3">
      <c r="B465" s="37"/>
      <c r="C465" s="496"/>
      <c r="D465" s="322"/>
      <c r="E465" s="322"/>
      <c r="F465" s="322"/>
      <c r="G465" s="322"/>
      <c r="H465" s="521">
        <f t="shared" si="150"/>
        <v>0</v>
      </c>
      <c r="I465" s="161">
        <f t="shared" si="151"/>
        <v>0</v>
      </c>
      <c r="K465" s="189"/>
    </row>
    <row r="466" spans="1:11" x14ac:dyDescent="0.3">
      <c r="A466" s="36"/>
      <c r="B466" s="37"/>
      <c r="C466" s="496"/>
      <c r="D466" s="322"/>
      <c r="E466" s="322"/>
      <c r="F466" s="322"/>
      <c r="G466" s="322"/>
      <c r="H466" s="522">
        <f t="shared" si="150"/>
        <v>0</v>
      </c>
      <c r="I466" s="161">
        <f t="shared" si="151"/>
        <v>0</v>
      </c>
      <c r="K466" s="189"/>
    </row>
    <row r="467" spans="1:11" x14ac:dyDescent="0.3">
      <c r="A467" s="335" t="s">
        <v>412</v>
      </c>
      <c r="B467" s="34"/>
      <c r="C467" s="486"/>
      <c r="D467" s="334">
        <f t="shared" ref="D467:G467" si="152">SUM(D461:D466)</f>
        <v>413.57821917808218</v>
      </c>
      <c r="E467" s="334">
        <f t="shared" si="152"/>
        <v>415.09465753424655</v>
      </c>
      <c r="F467" s="334">
        <f t="shared" ref="F467" si="153">SUM(F461:F466)</f>
        <v>416.09732240437165</v>
      </c>
      <c r="G467" s="334">
        <f t="shared" si="152"/>
        <v>417.09739726027397</v>
      </c>
      <c r="H467" s="160">
        <f t="shared" si="150"/>
        <v>415.46689909424362</v>
      </c>
      <c r="I467" s="162">
        <f t="shared" si="151"/>
        <v>1661.8675963769745</v>
      </c>
      <c r="K467" s="204"/>
    </row>
    <row r="468" spans="1:11" x14ac:dyDescent="0.3">
      <c r="A468" s="49"/>
      <c r="B468" s="48"/>
      <c r="C468" s="240"/>
      <c r="D468" s="240"/>
      <c r="E468" s="240"/>
      <c r="F468" s="240"/>
      <c r="G468" s="240"/>
      <c r="H468" s="2"/>
      <c r="I468" s="166"/>
      <c r="K468" s="2"/>
    </row>
    <row r="469" spans="1:11" x14ac:dyDescent="0.3">
      <c r="A469" s="42" t="s">
        <v>75</v>
      </c>
      <c r="B469" s="43"/>
      <c r="C469" s="44"/>
      <c r="D469" s="44"/>
      <c r="E469" s="44"/>
      <c r="F469" s="44"/>
      <c r="G469" s="44"/>
      <c r="H469" s="44"/>
      <c r="I469" s="44"/>
    </row>
    <row r="470" spans="1:11" ht="13.9" customHeight="1" x14ac:dyDescent="0.3"/>
    <row r="471" spans="1:11" ht="26" x14ac:dyDescent="0.3">
      <c r="A471" s="668" t="s">
        <v>411</v>
      </c>
      <c r="B471" s="655"/>
      <c r="C471" s="3" t="str">
        <f>Annee0</f>
        <v>Année 0</v>
      </c>
      <c r="D471" s="3" t="str">
        <f>Annee1</f>
        <v>Année 1</v>
      </c>
      <c r="E471" s="3" t="str">
        <f>Annee2</f>
        <v>Année 2</v>
      </c>
      <c r="F471" s="3" t="str">
        <f>Annee3</f>
        <v>Année 3</v>
      </c>
      <c r="G471" s="3" t="str">
        <f>Annee4</f>
        <v>Année 4</v>
      </c>
      <c r="H471" s="515" t="s">
        <v>256</v>
      </c>
      <c r="I471" s="4" t="s">
        <v>59</v>
      </c>
      <c r="K471" s="187" t="s">
        <v>290</v>
      </c>
    </row>
    <row r="472" spans="1:11" ht="14.5" customHeight="1" x14ac:dyDescent="0.3">
      <c r="A472" s="667"/>
      <c r="B472" s="656"/>
      <c r="C472" s="77">
        <v>12</v>
      </c>
      <c r="D472" s="77">
        <v>12</v>
      </c>
      <c r="E472" s="77">
        <v>12</v>
      </c>
      <c r="F472" s="77">
        <v>12</v>
      </c>
      <c r="G472" s="77">
        <v>12</v>
      </c>
      <c r="H472" s="78">
        <f t="shared" ref="H472:H479" si="154">IFERROR(AVERAGE(C472:G472),0)</f>
        <v>12</v>
      </c>
      <c r="I472" s="78">
        <f t="shared" ref="I472:I479" si="155">SUM(C472:G472)</f>
        <v>60</v>
      </c>
      <c r="K472" s="195"/>
    </row>
    <row r="473" spans="1:11" x14ac:dyDescent="0.3">
      <c r="A473" s="36" t="s">
        <v>274</v>
      </c>
      <c r="B473" s="37"/>
      <c r="C473" s="498"/>
      <c r="D473" s="333">
        <v>19842710.148632497</v>
      </c>
      <c r="E473" s="333">
        <v>20019095.606593668</v>
      </c>
      <c r="F473" s="333">
        <v>20144417.656193275</v>
      </c>
      <c r="G473" s="333">
        <v>20286890.354287505</v>
      </c>
      <c r="H473" s="10">
        <f t="shared" si="154"/>
        <v>20073278.441426735</v>
      </c>
      <c r="I473" s="39">
        <f t="shared" si="155"/>
        <v>80293113.765706941</v>
      </c>
      <c r="K473" s="188"/>
    </row>
    <row r="474" spans="1:11" x14ac:dyDescent="0.3">
      <c r="A474" s="36" t="s">
        <v>405</v>
      </c>
      <c r="B474" s="37"/>
      <c r="C474" s="498"/>
      <c r="D474" s="332">
        <v>1043851.5432684851</v>
      </c>
      <c r="E474" s="332">
        <v>1054914.0056004927</v>
      </c>
      <c r="F474" s="332">
        <v>1067983.466771578</v>
      </c>
      <c r="G474" s="332">
        <v>1064657.0112827488</v>
      </c>
      <c r="H474" s="520">
        <f t="shared" si="154"/>
        <v>1057851.5067308261</v>
      </c>
      <c r="I474" s="39">
        <f t="shared" si="155"/>
        <v>4231406.0269233044</v>
      </c>
      <c r="K474" s="189"/>
    </row>
    <row r="475" spans="1:11" x14ac:dyDescent="0.3">
      <c r="A475" s="36" t="s">
        <v>406</v>
      </c>
      <c r="B475" s="37"/>
      <c r="C475" s="496"/>
      <c r="D475" s="322">
        <v>0</v>
      </c>
      <c r="E475" s="322">
        <v>0</v>
      </c>
      <c r="F475" s="322">
        <v>0</v>
      </c>
      <c r="G475" s="322">
        <v>0</v>
      </c>
      <c r="H475" s="520">
        <f t="shared" si="154"/>
        <v>0</v>
      </c>
      <c r="I475" s="39">
        <f t="shared" si="155"/>
        <v>0</v>
      </c>
      <c r="K475" s="189"/>
    </row>
    <row r="476" spans="1:11" x14ac:dyDescent="0.3">
      <c r="A476" s="36"/>
      <c r="B476" s="37"/>
      <c r="C476" s="496"/>
      <c r="D476" s="322"/>
      <c r="E476" s="322"/>
      <c r="F476" s="322"/>
      <c r="G476" s="322"/>
      <c r="H476" s="520">
        <f t="shared" si="154"/>
        <v>0</v>
      </c>
      <c r="I476" s="39">
        <f t="shared" si="155"/>
        <v>0</v>
      </c>
      <c r="K476" s="189"/>
    </row>
    <row r="477" spans="1:11" x14ac:dyDescent="0.3">
      <c r="B477" s="37"/>
      <c r="C477" s="496"/>
      <c r="D477" s="322"/>
      <c r="E477" s="322"/>
      <c r="F477" s="322"/>
      <c r="G477" s="322"/>
      <c r="H477" s="520">
        <f t="shared" si="154"/>
        <v>0</v>
      </c>
      <c r="I477" s="39">
        <f t="shared" si="155"/>
        <v>0</v>
      </c>
      <c r="K477" s="189"/>
    </row>
    <row r="478" spans="1:11" x14ac:dyDescent="0.3">
      <c r="A478" s="36"/>
      <c r="B478" s="37"/>
      <c r="C478" s="496"/>
      <c r="D478" s="322"/>
      <c r="E478" s="322"/>
      <c r="F478" s="322"/>
      <c r="G478" s="322"/>
      <c r="H478" s="196">
        <f t="shared" si="154"/>
        <v>0</v>
      </c>
      <c r="I478" s="39">
        <f t="shared" si="155"/>
        <v>0</v>
      </c>
      <c r="K478" s="189"/>
    </row>
    <row r="479" spans="1:11" x14ac:dyDescent="0.3">
      <c r="A479" s="335" t="s">
        <v>413</v>
      </c>
      <c r="B479" s="34"/>
      <c r="C479" s="486"/>
      <c r="D479" s="334">
        <f t="shared" ref="D479" si="156">SUM(D473:D478)</f>
        <v>20886561.691900983</v>
      </c>
      <c r="E479" s="334">
        <f t="shared" ref="E479" si="157">SUM(E473:E478)</f>
        <v>21074009.612194162</v>
      </c>
      <c r="F479" s="334">
        <f t="shared" ref="F479:G479" si="158">SUM(F473:F478)</f>
        <v>21212401.122964852</v>
      </c>
      <c r="G479" s="334">
        <f t="shared" si="158"/>
        <v>21351547.365570255</v>
      </c>
      <c r="H479" s="20">
        <f t="shared" si="154"/>
        <v>21131129.948157564</v>
      </c>
      <c r="I479" s="35">
        <f t="shared" si="155"/>
        <v>84524519.792630255</v>
      </c>
      <c r="K479" s="462" t="s">
        <v>427</v>
      </c>
    </row>
    <row r="480" spans="1:11" x14ac:dyDescent="0.3">
      <c r="C480" s="2"/>
      <c r="D480" s="2"/>
      <c r="E480" s="2"/>
      <c r="F480" s="2"/>
      <c r="G480" s="2"/>
    </row>
    <row r="481" spans="3:13" x14ac:dyDescent="0.3">
      <c r="C481" s="2"/>
      <c r="D481" s="2"/>
      <c r="E481" s="2"/>
      <c r="F481" s="2"/>
      <c r="G481" s="2"/>
    </row>
    <row r="482" spans="3:13" x14ac:dyDescent="0.3">
      <c r="C482" s="2"/>
      <c r="D482" s="2"/>
      <c r="E482" s="2"/>
      <c r="F482" s="2"/>
      <c r="G482" s="2"/>
      <c r="H482" s="164"/>
      <c r="J482" s="164"/>
      <c r="L482" s="164"/>
      <c r="M482" s="164"/>
    </row>
    <row r="483" spans="3:13" x14ac:dyDescent="0.3">
      <c r="C483" s="2"/>
      <c r="D483" s="2"/>
      <c r="E483" s="2"/>
      <c r="F483" s="2"/>
      <c r="G483" s="2"/>
    </row>
    <row r="484" spans="3:13" x14ac:dyDescent="0.3">
      <c r="C484" s="2"/>
      <c r="D484" s="2"/>
      <c r="E484" s="2"/>
      <c r="F484" s="2"/>
      <c r="G484" s="2"/>
    </row>
    <row r="485" spans="3:13" x14ac:dyDescent="0.3">
      <c r="C485" s="2"/>
      <c r="D485" s="2"/>
      <c r="E485" s="2"/>
      <c r="F485" s="2"/>
      <c r="G485" s="2"/>
    </row>
    <row r="486" spans="3:13" x14ac:dyDescent="0.3">
      <c r="C486" s="248"/>
      <c r="D486" s="2"/>
      <c r="E486" s="2"/>
      <c r="F486" s="2"/>
      <c r="G486" s="2"/>
    </row>
    <row r="487" spans="3:13" x14ac:dyDescent="0.3">
      <c r="C487" s="2"/>
      <c r="D487" s="2"/>
      <c r="E487" s="2"/>
      <c r="F487" s="2"/>
      <c r="G487" s="2"/>
    </row>
    <row r="488" spans="3:13" x14ac:dyDescent="0.3">
      <c r="C488" s="2"/>
      <c r="D488" s="2"/>
      <c r="E488" s="2"/>
      <c r="F488" s="2"/>
      <c r="G488" s="2"/>
    </row>
    <row r="489" spans="3:13" x14ac:dyDescent="0.3">
      <c r="C489" s="2"/>
      <c r="D489" s="2"/>
      <c r="E489" s="2"/>
      <c r="F489" s="2"/>
      <c r="G489" s="2"/>
    </row>
    <row r="490" spans="3:13" x14ac:dyDescent="0.3">
      <c r="C490" s="2"/>
      <c r="D490" s="2"/>
      <c r="E490" s="2"/>
      <c r="F490" s="2"/>
      <c r="G490" s="2"/>
    </row>
    <row r="491" spans="3:13" x14ac:dyDescent="0.3">
      <c r="C491" s="2"/>
      <c r="D491" s="2"/>
      <c r="E491" s="2"/>
      <c r="F491" s="2"/>
      <c r="G491" s="2"/>
    </row>
    <row r="492" spans="3:13" x14ac:dyDescent="0.3">
      <c r="C492" s="2"/>
      <c r="D492" s="2"/>
      <c r="E492" s="2"/>
      <c r="F492" s="2"/>
      <c r="G492" s="2"/>
    </row>
    <row r="493" spans="3:13" x14ac:dyDescent="0.3">
      <c r="C493" s="2"/>
      <c r="D493" s="2"/>
      <c r="E493" s="2"/>
      <c r="F493" s="2"/>
      <c r="G493" s="2"/>
    </row>
  </sheetData>
  <mergeCells count="19">
    <mergeCell ref="K332:K333"/>
    <mergeCell ref="A450:A451"/>
    <mergeCell ref="B450:B451"/>
    <mergeCell ref="K7:K8"/>
    <mergeCell ref="K104:K105"/>
    <mergeCell ref="K141:K142"/>
    <mergeCell ref="A332:A333"/>
    <mergeCell ref="B332:B333"/>
    <mergeCell ref="A1:I1"/>
    <mergeCell ref="A471:A472"/>
    <mergeCell ref="B471:B472"/>
    <mergeCell ref="B459:B460"/>
    <mergeCell ref="A459:A460"/>
    <mergeCell ref="A7:A8"/>
    <mergeCell ref="B7:B8"/>
    <mergeCell ref="B141:B142"/>
    <mergeCell ref="A141:A142"/>
    <mergeCell ref="A104:A105"/>
    <mergeCell ref="B104:B105"/>
  </mergeCells>
  <phoneticPr fontId="20" type="noConversion"/>
  <printOptions horizontalCentered="1"/>
  <pageMargins left="0.70866141732283472" right="0.70866141732283472" top="0.74803149606299213" bottom="0.74803149606299213" header="0.31496062992125984" footer="0.31496062992125984"/>
  <pageSetup paperSize="9" scale="54" fitToHeight="4" orientation="landscape" r:id="rId1"/>
  <headerFooter>
    <oddHeader>&amp;L&amp;F&amp;R&amp;A</oddHeader>
    <oddFooter>&amp;L&amp;D&amp;C&amp;P/&amp;N&amp;R&amp;T</oddFooter>
  </headerFooter>
  <rowBreaks count="8" manualBreakCount="8">
    <brk id="39" max="16383" man="1"/>
    <brk id="103" max="16383" man="1"/>
    <brk id="137" max="11" man="1"/>
    <brk id="204" max="16383" man="1"/>
    <brk id="266" max="16383" man="1"/>
    <brk id="330" max="16383" man="1"/>
    <brk id="395" max="16383" man="1"/>
    <brk id="436" max="16383" man="1"/>
  </rowBreaks>
  <ignoredErrors>
    <ignoredError sqref="H329 D467:E467 D479:E479 G467 G479" formulaRange="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59999389629810485"/>
    <pageSetUpPr fitToPage="1"/>
  </sheetPr>
  <dimension ref="A1:S71"/>
  <sheetViews>
    <sheetView showGridLines="0" zoomScale="85" zoomScaleNormal="85" workbookViewId="0">
      <selection sqref="A1:N1"/>
    </sheetView>
  </sheetViews>
  <sheetFormatPr baseColWidth="10" defaultColWidth="11.26953125" defaultRowHeight="13" x14ac:dyDescent="0.3"/>
  <cols>
    <col min="1" max="1" width="34.7265625" style="2" customWidth="1"/>
    <col min="2" max="2" width="11" style="17" customWidth="1"/>
    <col min="3" max="9" width="11" style="28" customWidth="1"/>
    <col min="10" max="10" width="6.7265625" style="28" customWidth="1"/>
    <col min="11" max="14" width="11" style="28" customWidth="1"/>
    <col min="15" max="15" width="6.7265625" style="28" customWidth="1"/>
    <col min="16" max="16" width="27.453125" style="28" bestFit="1" customWidth="1"/>
    <col min="17" max="17" width="6.7265625" style="28" customWidth="1"/>
    <col min="18" max="16384" width="11.26953125" style="2"/>
  </cols>
  <sheetData>
    <row r="1" spans="1:19" ht="16.75" customHeight="1" x14ac:dyDescent="0.3">
      <c r="A1" s="675" t="s">
        <v>110</v>
      </c>
      <c r="B1" s="664"/>
      <c r="C1" s="664"/>
      <c r="D1" s="664"/>
      <c r="E1" s="664"/>
      <c r="F1" s="664"/>
      <c r="G1" s="664"/>
      <c r="H1" s="664"/>
      <c r="I1" s="664"/>
      <c r="J1" s="664"/>
      <c r="K1" s="664"/>
      <c r="L1" s="664"/>
      <c r="M1" s="664"/>
      <c r="N1" s="665"/>
      <c r="R1" s="1"/>
    </row>
    <row r="3" spans="1:19" x14ac:dyDescent="0.3">
      <c r="A3" s="42" t="s">
        <v>69</v>
      </c>
      <c r="B3" s="43"/>
      <c r="C3" s="44"/>
      <c r="D3" s="44"/>
      <c r="E3" s="44"/>
      <c r="F3" s="44"/>
      <c r="G3" s="44"/>
      <c r="H3" s="44"/>
      <c r="I3" s="44"/>
      <c r="J3" s="44"/>
      <c r="K3" s="44"/>
      <c r="L3" s="44"/>
      <c r="M3" s="44"/>
      <c r="N3" s="44"/>
      <c r="O3" s="44"/>
      <c r="P3" s="44"/>
    </row>
    <row r="5" spans="1:19" ht="26" x14ac:dyDescent="0.3">
      <c r="A5" s="653" t="s">
        <v>169</v>
      </c>
      <c r="B5" s="80"/>
      <c r="C5" s="3">
        <v>2017</v>
      </c>
      <c r="D5" s="3">
        <v>2018</v>
      </c>
      <c r="E5" s="3">
        <v>2019</v>
      </c>
      <c r="F5" s="3">
        <v>2020</v>
      </c>
      <c r="G5" s="3">
        <v>2021</v>
      </c>
      <c r="H5" s="3">
        <v>2022</v>
      </c>
      <c r="I5" s="3">
        <v>2023</v>
      </c>
      <c r="K5" s="181" t="s">
        <v>280</v>
      </c>
      <c r="L5" s="181" t="s">
        <v>281</v>
      </c>
      <c r="M5" s="181" t="s">
        <v>256</v>
      </c>
      <c r="N5" s="4" t="s">
        <v>59</v>
      </c>
      <c r="P5" s="661" t="s">
        <v>290</v>
      </c>
      <c r="R5" s="31"/>
      <c r="S5" s="31"/>
    </row>
    <row r="6" spans="1:19" x14ac:dyDescent="0.3">
      <c r="A6" s="676"/>
      <c r="B6" s="81"/>
      <c r="C6" s="77">
        <v>12</v>
      </c>
      <c r="D6" s="77">
        <v>12</v>
      </c>
      <c r="E6" s="77">
        <v>12</v>
      </c>
      <c r="F6" s="77">
        <v>12</v>
      </c>
      <c r="G6" s="77">
        <v>12</v>
      </c>
      <c r="H6" s="77">
        <v>12</v>
      </c>
      <c r="I6" s="77">
        <v>12</v>
      </c>
      <c r="K6" s="78">
        <v>12</v>
      </c>
      <c r="L6" s="78">
        <v>12</v>
      </c>
      <c r="M6" s="78">
        <v>12</v>
      </c>
      <c r="N6" s="78">
        <f>SUM(C6:I6)</f>
        <v>84</v>
      </c>
      <c r="P6" s="662"/>
    </row>
    <row r="7" spans="1:19" x14ac:dyDescent="0.3">
      <c r="A7" s="83" t="s">
        <v>105</v>
      </c>
      <c r="B7" s="86"/>
      <c r="C7" s="260">
        <v>132122.6704</v>
      </c>
      <c r="D7" s="260">
        <v>124489.14</v>
      </c>
      <c r="E7" s="260">
        <v>124489.14</v>
      </c>
      <c r="F7" s="260">
        <v>124489.14</v>
      </c>
      <c r="G7" s="260">
        <v>124489.14</v>
      </c>
      <c r="H7" s="260">
        <v>124489.14</v>
      </c>
      <c r="I7" s="260">
        <v>124489.14</v>
      </c>
      <c r="K7" s="10">
        <f>IFERROR(AVERAGE(C7:D7),"")</f>
        <v>128305.90520000001</v>
      </c>
      <c r="L7" s="10">
        <f t="shared" ref="L7" si="0">IFERROR(AVERAGE(E7:I7),"")</f>
        <v>124489.13999999998</v>
      </c>
      <c r="M7" s="10">
        <f t="shared" ref="M7" si="1">IFERROR(AVERAGE(C7:I7),"")</f>
        <v>125579.64434285715</v>
      </c>
      <c r="N7" s="10">
        <f>SUM(C7:I7)</f>
        <v>879057.51040000003</v>
      </c>
      <c r="P7" s="188"/>
    </row>
    <row r="8" spans="1:19" x14ac:dyDescent="0.3">
      <c r="A8" s="84" t="s">
        <v>106</v>
      </c>
      <c r="B8" s="87"/>
      <c r="C8" s="176"/>
      <c r="D8" s="176"/>
      <c r="E8" s="176"/>
      <c r="F8" s="176"/>
      <c r="G8" s="176"/>
      <c r="H8" s="176"/>
      <c r="I8" s="176"/>
      <c r="K8" s="14" t="str">
        <f t="shared" ref="K8:K9" si="2">IFERROR(AVERAGE(C8:D8),"")</f>
        <v/>
      </c>
      <c r="L8" s="14" t="str">
        <f t="shared" ref="L8:L9" si="3">IFERROR(AVERAGE(E8:I8),"")</f>
        <v/>
      </c>
      <c r="M8" s="14" t="str">
        <f t="shared" ref="M8:M9" si="4">IFERROR(AVERAGE(C8:I8),"")</f>
        <v/>
      </c>
      <c r="N8" s="14">
        <f t="shared" ref="N8:N9" si="5">SUM(C8:I8)</f>
        <v>0</v>
      </c>
      <c r="P8" s="189"/>
    </row>
    <row r="9" spans="1:19" x14ac:dyDescent="0.3">
      <c r="A9" s="85" t="s">
        <v>107</v>
      </c>
      <c r="B9" s="88"/>
      <c r="C9" s="177"/>
      <c r="D9" s="177"/>
      <c r="E9" s="177"/>
      <c r="F9" s="177"/>
      <c r="G9" s="177"/>
      <c r="H9" s="177"/>
      <c r="I9" s="177"/>
      <c r="K9" s="14" t="str">
        <f t="shared" si="2"/>
        <v/>
      </c>
      <c r="L9" s="14" t="str">
        <f t="shared" si="3"/>
        <v/>
      </c>
      <c r="M9" s="14" t="str">
        <f t="shared" si="4"/>
        <v/>
      </c>
      <c r="N9" s="14">
        <f t="shared" si="5"/>
        <v>0</v>
      </c>
      <c r="P9" s="204"/>
    </row>
    <row r="10" spans="1:19" ht="14.5" x14ac:dyDescent="0.35">
      <c r="A10" s="82" t="s">
        <v>7</v>
      </c>
      <c r="B10" s="20"/>
      <c r="C10" s="20">
        <f>SUM(C7:C9)</f>
        <v>132122.6704</v>
      </c>
      <c r="D10" s="20">
        <f t="shared" ref="D10:M10" si="6">SUM(D7:D9)</f>
        <v>124489.14</v>
      </c>
      <c r="E10" s="20">
        <f t="shared" si="6"/>
        <v>124489.14</v>
      </c>
      <c r="F10" s="20">
        <f t="shared" si="6"/>
        <v>124489.14</v>
      </c>
      <c r="G10" s="20">
        <f t="shared" si="6"/>
        <v>124489.14</v>
      </c>
      <c r="H10" s="20">
        <f t="shared" si="6"/>
        <v>124489.14</v>
      </c>
      <c r="I10" s="20">
        <f t="shared" si="6"/>
        <v>124489.14</v>
      </c>
      <c r="K10" s="20">
        <f t="shared" si="6"/>
        <v>128305.90520000001</v>
      </c>
      <c r="L10" s="20">
        <f t="shared" si="6"/>
        <v>124489.13999999998</v>
      </c>
      <c r="M10" s="20">
        <f t="shared" si="6"/>
        <v>125579.64434285715</v>
      </c>
      <c r="N10" s="20">
        <f>SUM(N7:N9)</f>
        <v>879057.51040000003</v>
      </c>
      <c r="P10" s="229"/>
    </row>
    <row r="11" spans="1:19" ht="14.5" x14ac:dyDescent="0.35">
      <c r="P11"/>
    </row>
    <row r="12" spans="1:19" ht="14.5" x14ac:dyDescent="0.35">
      <c r="P12"/>
    </row>
    <row r="13" spans="1:19" ht="26" x14ac:dyDescent="0.3">
      <c r="A13" s="653" t="s">
        <v>73</v>
      </c>
      <c r="B13" s="80"/>
      <c r="C13" s="3">
        <v>2017</v>
      </c>
      <c r="D13" s="3">
        <v>2018</v>
      </c>
      <c r="E13" s="3">
        <v>2019</v>
      </c>
      <c r="F13" s="3">
        <v>2020</v>
      </c>
      <c r="G13" s="3">
        <v>2021</v>
      </c>
      <c r="H13" s="3">
        <v>2022</v>
      </c>
      <c r="I13" s="3">
        <v>2023</v>
      </c>
      <c r="K13" s="181" t="s">
        <v>280</v>
      </c>
      <c r="L13" s="181" t="s">
        <v>281</v>
      </c>
      <c r="M13" s="181" t="s">
        <v>256</v>
      </c>
      <c r="N13" s="4" t="s">
        <v>59</v>
      </c>
      <c r="P13" s="663" t="s">
        <v>290</v>
      </c>
      <c r="R13" s="31"/>
      <c r="S13" s="31"/>
    </row>
    <row r="14" spans="1:19" x14ac:dyDescent="0.3">
      <c r="A14" s="654"/>
      <c r="B14" s="81"/>
      <c r="C14" s="77">
        <v>12</v>
      </c>
      <c r="D14" s="77">
        <v>12</v>
      </c>
      <c r="E14" s="77">
        <v>12</v>
      </c>
      <c r="F14" s="77">
        <v>12</v>
      </c>
      <c r="G14" s="77">
        <v>12</v>
      </c>
      <c r="H14" s="77">
        <v>12</v>
      </c>
      <c r="I14" s="77">
        <v>12</v>
      </c>
      <c r="K14" s="78">
        <v>12</v>
      </c>
      <c r="L14" s="78">
        <v>12</v>
      </c>
      <c r="M14" s="78">
        <v>12</v>
      </c>
      <c r="N14" s="78">
        <f>SUM(C14:I14)</f>
        <v>84</v>
      </c>
      <c r="P14" s="663"/>
    </row>
    <row r="15" spans="1:19" s="5" customFormat="1" x14ac:dyDescent="0.3">
      <c r="A15" s="65" t="s">
        <v>19</v>
      </c>
      <c r="B15" s="70"/>
      <c r="C15" s="73">
        <f>SUM(C16:C20)</f>
        <v>0</v>
      </c>
      <c r="D15" s="73">
        <f>SUM(D16:D20)</f>
        <v>0</v>
      </c>
      <c r="E15" s="73">
        <f t="shared" ref="E15:I15" si="7">SUM(E16:E20)</f>
        <v>0</v>
      </c>
      <c r="F15" s="73">
        <f t="shared" si="7"/>
        <v>0</v>
      </c>
      <c r="G15" s="73">
        <f t="shared" si="7"/>
        <v>0</v>
      </c>
      <c r="H15" s="73">
        <f t="shared" si="7"/>
        <v>0</v>
      </c>
      <c r="I15" s="73">
        <f t="shared" si="7"/>
        <v>0</v>
      </c>
      <c r="J15" s="28"/>
      <c r="K15" s="216">
        <f>IFERROR(AVERAGE(C15:D15),"")</f>
        <v>0</v>
      </c>
      <c r="L15" s="216">
        <f t="shared" ref="L15:L16" si="8">IFERROR(AVERAGE(E15:I15),"")</f>
        <v>0</v>
      </c>
      <c r="M15" s="216">
        <f t="shared" ref="M15:M16" si="9">IFERROR(AVERAGE(C15:I15),"")</f>
        <v>0</v>
      </c>
      <c r="N15" s="216">
        <f>SUM(N16:N20)</f>
        <v>0</v>
      </c>
      <c r="O15" s="28"/>
      <c r="P15" s="189"/>
      <c r="Q15" s="28"/>
    </row>
    <row r="16" spans="1:19" x14ac:dyDescent="0.3">
      <c r="A16" s="30" t="s">
        <v>14</v>
      </c>
      <c r="B16" s="71"/>
      <c r="C16" s="69">
        <v>0</v>
      </c>
      <c r="D16" s="69">
        <v>0</v>
      </c>
      <c r="E16" s="69">
        <v>0</v>
      </c>
      <c r="F16" s="69">
        <v>0</v>
      </c>
      <c r="G16" s="69">
        <v>0</v>
      </c>
      <c r="H16" s="69">
        <v>0</v>
      </c>
      <c r="I16" s="69">
        <v>0</v>
      </c>
      <c r="K16" s="14">
        <f t="shared" ref="K16" si="10">IFERROR(AVERAGE(C16:D16),"")</f>
        <v>0</v>
      </c>
      <c r="L16" s="14">
        <f t="shared" si="8"/>
        <v>0</v>
      </c>
      <c r="M16" s="14">
        <f t="shared" si="9"/>
        <v>0</v>
      </c>
      <c r="N16" s="14">
        <f t="shared" ref="N16:N20" si="11">SUM(C16:I16)</f>
        <v>0</v>
      </c>
      <c r="P16" s="188"/>
    </row>
    <row r="17" spans="1:17" x14ac:dyDescent="0.3">
      <c r="A17" s="30" t="s">
        <v>14</v>
      </c>
      <c r="B17" s="71"/>
      <c r="C17" s="69"/>
      <c r="D17" s="69"/>
      <c r="E17" s="69"/>
      <c r="F17" s="69"/>
      <c r="G17" s="69"/>
      <c r="H17" s="69"/>
      <c r="I17" s="69"/>
      <c r="K17" s="14"/>
      <c r="L17" s="14"/>
      <c r="M17" s="14"/>
      <c r="N17" s="14">
        <f t="shared" si="11"/>
        <v>0</v>
      </c>
      <c r="P17" s="189"/>
    </row>
    <row r="18" spans="1:17" x14ac:dyDescent="0.3">
      <c r="A18" s="30" t="s">
        <v>14</v>
      </c>
      <c r="B18" s="71"/>
      <c r="C18" s="69"/>
      <c r="D18" s="69"/>
      <c r="E18" s="69"/>
      <c r="F18" s="69"/>
      <c r="G18" s="69"/>
      <c r="H18" s="69"/>
      <c r="I18" s="69"/>
      <c r="K18" s="14"/>
      <c r="L18" s="14"/>
      <c r="M18" s="14"/>
      <c r="N18" s="14">
        <f t="shared" si="11"/>
        <v>0</v>
      </c>
      <c r="P18" s="189"/>
    </row>
    <row r="19" spans="1:17" x14ac:dyDescent="0.3">
      <c r="A19" s="30" t="s">
        <v>14</v>
      </c>
      <c r="B19" s="71"/>
      <c r="C19" s="69"/>
      <c r="D19" s="69"/>
      <c r="E19" s="69"/>
      <c r="F19" s="69"/>
      <c r="G19" s="69"/>
      <c r="H19" s="69"/>
      <c r="I19" s="69"/>
      <c r="K19" s="208"/>
      <c r="L19" s="14"/>
      <c r="M19" s="207"/>
      <c r="N19" s="14">
        <f t="shared" si="11"/>
        <v>0</v>
      </c>
      <c r="P19" s="189"/>
    </row>
    <row r="20" spans="1:17" x14ac:dyDescent="0.3">
      <c r="A20" s="30" t="s">
        <v>14</v>
      </c>
      <c r="B20" s="71"/>
      <c r="C20" s="69"/>
      <c r="D20" s="69"/>
      <c r="E20" s="69"/>
      <c r="F20" s="69"/>
      <c r="G20" s="69"/>
      <c r="H20" s="69"/>
      <c r="I20" s="69"/>
      <c r="K20" s="208"/>
      <c r="L20" s="14"/>
      <c r="M20" s="207"/>
      <c r="N20" s="207">
        <f t="shared" si="11"/>
        <v>0</v>
      </c>
      <c r="P20" s="189"/>
    </row>
    <row r="21" spans="1:17" s="5" customFormat="1" x14ac:dyDescent="0.3">
      <c r="A21" s="65" t="s">
        <v>56</v>
      </c>
      <c r="B21" s="72"/>
      <c r="C21" s="74">
        <f t="shared" ref="C21" si="12">SUM(C22:C26)</f>
        <v>145279.5016223944</v>
      </c>
      <c r="D21" s="74">
        <f t="shared" ref="D21:N21" si="13">SUM(D22:D26)</f>
        <v>146330.55950670154</v>
      </c>
      <c r="E21" s="74">
        <f t="shared" si="13"/>
        <v>147231.0593300513</v>
      </c>
      <c r="F21" s="74">
        <f t="shared" si="13"/>
        <v>148462.36813893905</v>
      </c>
      <c r="G21" s="74">
        <f t="shared" si="13"/>
        <v>149302.83437629818</v>
      </c>
      <c r="H21" s="74">
        <f t="shared" si="13"/>
        <v>151229.88878271455</v>
      </c>
      <c r="I21" s="74">
        <f>SUM(I22:I26)</f>
        <v>152488.8330695339</v>
      </c>
      <c r="J21" s="28"/>
      <c r="K21" s="227">
        <f>IFERROR(AVERAGE(C21:D21),"")</f>
        <v>145805.03056454798</v>
      </c>
      <c r="L21" s="217">
        <f t="shared" ref="L21:L22" si="14">IFERROR(AVERAGE(E21:I21),"")</f>
        <v>149742.99673950739</v>
      </c>
      <c r="M21" s="205">
        <f t="shared" ref="M21:M22" si="15">IFERROR(AVERAGE(C21:I21),"")</f>
        <v>148617.86354666186</v>
      </c>
      <c r="N21" s="205">
        <f t="shared" si="13"/>
        <v>1040325.0448266329</v>
      </c>
      <c r="O21" s="28"/>
      <c r="P21" s="189"/>
      <c r="Q21" s="28"/>
    </row>
    <row r="22" spans="1:17" x14ac:dyDescent="0.3">
      <c r="A22" s="30" t="s">
        <v>14</v>
      </c>
      <c r="B22" s="71"/>
      <c r="C22" s="261">
        <v>145279.5016223944</v>
      </c>
      <c r="D22" s="261">
        <v>146330.55950670154</v>
      </c>
      <c r="E22" s="261">
        <v>147231.0593300513</v>
      </c>
      <c r="F22" s="261">
        <v>148462.36813893905</v>
      </c>
      <c r="G22" s="261">
        <v>149302.83437629818</v>
      </c>
      <c r="H22" s="261">
        <v>151229.88878271455</v>
      </c>
      <c r="I22" s="261">
        <v>152488.8330695339</v>
      </c>
      <c r="K22" s="208">
        <f t="shared" ref="K22" si="16">IFERROR(AVERAGE(C22:D22),"")</f>
        <v>145805.03056454798</v>
      </c>
      <c r="L22" s="14">
        <f t="shared" si="14"/>
        <v>149742.99673950739</v>
      </c>
      <c r="M22" s="207">
        <f t="shared" si="15"/>
        <v>148617.86354666186</v>
      </c>
      <c r="N22" s="207">
        <f t="shared" ref="N22:N26" si="17">SUM(C22:I22)</f>
        <v>1040325.0448266329</v>
      </c>
      <c r="P22" s="189"/>
    </row>
    <row r="23" spans="1:17" x14ac:dyDescent="0.3">
      <c r="A23" s="30" t="s">
        <v>14</v>
      </c>
      <c r="B23" s="71"/>
      <c r="C23" s="69"/>
      <c r="D23" s="69"/>
      <c r="E23" s="69"/>
      <c r="F23" s="69"/>
      <c r="G23" s="69"/>
      <c r="H23" s="69"/>
      <c r="I23" s="69"/>
      <c r="K23" s="208"/>
      <c r="L23" s="14"/>
      <c r="M23" s="207"/>
      <c r="N23" s="207">
        <f t="shared" si="17"/>
        <v>0</v>
      </c>
      <c r="P23" s="189"/>
    </row>
    <row r="24" spans="1:17" x14ac:dyDescent="0.3">
      <c r="A24" s="30" t="s">
        <v>14</v>
      </c>
      <c r="B24" s="71"/>
      <c r="C24" s="69"/>
      <c r="D24" s="69"/>
      <c r="E24" s="69"/>
      <c r="F24" s="69"/>
      <c r="G24" s="69"/>
      <c r="H24" s="69"/>
      <c r="I24" s="69"/>
      <c r="K24" s="208"/>
      <c r="L24" s="14"/>
      <c r="M24" s="207"/>
      <c r="N24" s="207">
        <f t="shared" si="17"/>
        <v>0</v>
      </c>
      <c r="P24" s="189"/>
    </row>
    <row r="25" spans="1:17" x14ac:dyDescent="0.3">
      <c r="A25" s="30" t="s">
        <v>14</v>
      </c>
      <c r="B25" s="71"/>
      <c r="C25" s="69"/>
      <c r="D25" s="69"/>
      <c r="E25" s="69"/>
      <c r="F25" s="69"/>
      <c r="G25" s="69"/>
      <c r="H25" s="69"/>
      <c r="I25" s="69"/>
      <c r="K25" s="208"/>
      <c r="L25" s="14"/>
      <c r="M25" s="207"/>
      <c r="N25" s="207">
        <f t="shared" si="17"/>
        <v>0</v>
      </c>
      <c r="P25" s="189"/>
    </row>
    <row r="26" spans="1:17" x14ac:dyDescent="0.3">
      <c r="A26" s="30" t="s">
        <v>14</v>
      </c>
      <c r="B26" s="71"/>
      <c r="C26" s="69"/>
      <c r="D26" s="69"/>
      <c r="E26" s="69"/>
      <c r="F26" s="69"/>
      <c r="G26" s="69"/>
      <c r="H26" s="69"/>
      <c r="I26" s="69"/>
      <c r="K26" s="208"/>
      <c r="L26" s="14"/>
      <c r="M26" s="207"/>
      <c r="N26" s="207">
        <f t="shared" si="17"/>
        <v>0</v>
      </c>
      <c r="P26" s="189"/>
    </row>
    <row r="27" spans="1:17" s="5" customFormat="1" x14ac:dyDescent="0.3">
      <c r="A27" s="65" t="s">
        <v>57</v>
      </c>
      <c r="B27" s="72"/>
      <c r="C27" s="74">
        <f t="shared" ref="C27" si="18">SUM(C28:C32)</f>
        <v>0</v>
      </c>
      <c r="D27" s="74">
        <f t="shared" ref="D27:N27" si="19">SUM(D28:D32)</f>
        <v>0</v>
      </c>
      <c r="E27" s="74">
        <f t="shared" si="19"/>
        <v>0</v>
      </c>
      <c r="F27" s="74">
        <f t="shared" si="19"/>
        <v>0</v>
      </c>
      <c r="G27" s="74">
        <f t="shared" si="19"/>
        <v>0</v>
      </c>
      <c r="H27" s="74">
        <f t="shared" si="19"/>
        <v>0</v>
      </c>
      <c r="I27" s="74">
        <f>SUM(I28:I32)</f>
        <v>0</v>
      </c>
      <c r="J27" s="28"/>
      <c r="K27" s="227">
        <f>IFERROR(AVERAGE(C27:D27),"")</f>
        <v>0</v>
      </c>
      <c r="L27" s="217">
        <f t="shared" ref="L27:L28" si="20">IFERROR(AVERAGE(E27:I27),"")</f>
        <v>0</v>
      </c>
      <c r="M27" s="205">
        <f t="shared" ref="M27:M28" si="21">IFERROR(AVERAGE(C27:I27),"")</f>
        <v>0</v>
      </c>
      <c r="N27" s="205">
        <f t="shared" si="19"/>
        <v>0</v>
      </c>
      <c r="O27" s="28"/>
      <c r="P27" s="189"/>
      <c r="Q27" s="28"/>
    </row>
    <row r="28" spans="1:17" x14ac:dyDescent="0.3">
      <c r="A28" s="30" t="s">
        <v>14</v>
      </c>
      <c r="B28" s="71"/>
      <c r="C28" s="69"/>
      <c r="D28" s="69"/>
      <c r="E28" s="69"/>
      <c r="F28" s="69"/>
      <c r="G28" s="69"/>
      <c r="H28" s="69"/>
      <c r="I28" s="69"/>
      <c r="K28" s="208" t="str">
        <f t="shared" ref="K28" si="22">IFERROR(AVERAGE(C28:D28),"")</f>
        <v/>
      </c>
      <c r="L28" s="14" t="str">
        <f t="shared" si="20"/>
        <v/>
      </c>
      <c r="M28" s="207" t="str">
        <f t="shared" si="21"/>
        <v/>
      </c>
      <c r="N28" s="207">
        <f t="shared" ref="N28:N32" si="23">SUM(C28:I28)</f>
        <v>0</v>
      </c>
      <c r="P28" s="189"/>
    </row>
    <row r="29" spans="1:17" x14ac:dyDescent="0.3">
      <c r="A29" s="30" t="s">
        <v>14</v>
      </c>
      <c r="B29" s="71"/>
      <c r="C29" s="69"/>
      <c r="D29" s="69"/>
      <c r="E29" s="69"/>
      <c r="F29" s="69"/>
      <c r="G29" s="69"/>
      <c r="H29" s="69"/>
      <c r="I29" s="69"/>
      <c r="K29" s="208"/>
      <c r="L29" s="14"/>
      <c r="M29" s="207"/>
      <c r="N29" s="207">
        <f t="shared" si="23"/>
        <v>0</v>
      </c>
      <c r="P29" s="189"/>
    </row>
    <row r="30" spans="1:17" x14ac:dyDescent="0.3">
      <c r="A30" s="30" t="s">
        <v>14</v>
      </c>
      <c r="B30" s="71"/>
      <c r="C30" s="69"/>
      <c r="D30" s="69"/>
      <c r="E30" s="69"/>
      <c r="F30" s="69"/>
      <c r="G30" s="69"/>
      <c r="H30" s="69"/>
      <c r="I30" s="69"/>
      <c r="K30" s="208"/>
      <c r="L30" s="14"/>
      <c r="M30" s="207"/>
      <c r="N30" s="207">
        <f t="shared" si="23"/>
        <v>0</v>
      </c>
      <c r="P30" s="189"/>
    </row>
    <row r="31" spans="1:17" x14ac:dyDescent="0.3">
      <c r="A31" s="30" t="s">
        <v>14</v>
      </c>
      <c r="B31" s="71"/>
      <c r="C31" s="69"/>
      <c r="D31" s="69"/>
      <c r="E31" s="69"/>
      <c r="F31" s="69"/>
      <c r="G31" s="69"/>
      <c r="H31" s="69"/>
      <c r="I31" s="69"/>
      <c r="K31" s="208"/>
      <c r="L31" s="14"/>
      <c r="M31" s="207"/>
      <c r="N31" s="207">
        <f t="shared" si="23"/>
        <v>0</v>
      </c>
      <c r="P31" s="189"/>
    </row>
    <row r="32" spans="1:17" x14ac:dyDescent="0.3">
      <c r="A32" s="30" t="s">
        <v>14</v>
      </c>
      <c r="B32" s="71"/>
      <c r="C32" s="69"/>
      <c r="D32" s="69"/>
      <c r="E32" s="69"/>
      <c r="F32" s="69"/>
      <c r="G32" s="69"/>
      <c r="H32" s="69"/>
      <c r="I32" s="69"/>
      <c r="K32" s="208"/>
      <c r="L32" s="14"/>
      <c r="M32" s="207"/>
      <c r="N32" s="207">
        <f t="shared" si="23"/>
        <v>0</v>
      </c>
      <c r="P32" s="189"/>
    </row>
    <row r="33" spans="1:19" x14ac:dyDescent="0.3">
      <c r="A33" s="65" t="s">
        <v>58</v>
      </c>
      <c r="B33" s="71"/>
      <c r="C33" s="74">
        <f t="shared" ref="C33" si="24">SUM(C34:C38)</f>
        <v>0</v>
      </c>
      <c r="D33" s="74">
        <f t="shared" ref="D33:H33" si="25">SUM(D34:D38)</f>
        <v>0</v>
      </c>
      <c r="E33" s="74">
        <f t="shared" si="25"/>
        <v>0</v>
      </c>
      <c r="F33" s="74">
        <f t="shared" si="25"/>
        <v>0</v>
      </c>
      <c r="G33" s="74">
        <f t="shared" si="25"/>
        <v>0</v>
      </c>
      <c r="H33" s="74">
        <f t="shared" si="25"/>
        <v>0</v>
      </c>
      <c r="I33" s="74">
        <f>SUM(I34:I38)</f>
        <v>0</v>
      </c>
      <c r="K33" s="227">
        <f>IFERROR(AVERAGE(C33:D33),"")</f>
        <v>0</v>
      </c>
      <c r="L33" s="217">
        <f t="shared" ref="L33:L34" si="26">IFERROR(AVERAGE(E33:I33),"")</f>
        <v>0</v>
      </c>
      <c r="M33" s="205">
        <f t="shared" ref="M33:M34" si="27">IFERROR(AVERAGE(C33:I33),"")</f>
        <v>0</v>
      </c>
      <c r="N33" s="205">
        <f>SUM(N34:N38)</f>
        <v>0</v>
      </c>
      <c r="P33" s="189"/>
    </row>
    <row r="34" spans="1:19" x14ac:dyDescent="0.3">
      <c r="A34" s="30" t="s">
        <v>14</v>
      </c>
      <c r="B34" s="71"/>
      <c r="C34" s="69"/>
      <c r="D34" s="69"/>
      <c r="E34" s="69"/>
      <c r="F34" s="69"/>
      <c r="G34" s="69"/>
      <c r="H34" s="69"/>
      <c r="I34" s="69"/>
      <c r="K34" s="208" t="str">
        <f t="shared" ref="K34" si="28">IFERROR(AVERAGE(C34:D34),"")</f>
        <v/>
      </c>
      <c r="L34" s="14" t="str">
        <f t="shared" si="26"/>
        <v/>
      </c>
      <c r="M34" s="207" t="str">
        <f t="shared" si="27"/>
        <v/>
      </c>
      <c r="N34" s="207">
        <f t="shared" ref="N34:N37" si="29">SUM(C34:I34)</f>
        <v>0</v>
      </c>
      <c r="P34" s="189"/>
    </row>
    <row r="35" spans="1:19" x14ac:dyDescent="0.3">
      <c r="A35" s="30" t="s">
        <v>14</v>
      </c>
      <c r="B35" s="71"/>
      <c r="C35" s="69"/>
      <c r="D35" s="69"/>
      <c r="E35" s="69"/>
      <c r="F35" s="69"/>
      <c r="G35" s="69"/>
      <c r="H35" s="69"/>
      <c r="I35" s="69"/>
      <c r="K35" s="208"/>
      <c r="L35" s="14"/>
      <c r="M35" s="207"/>
      <c r="N35" s="14">
        <f>SUM(C35:I35)</f>
        <v>0</v>
      </c>
      <c r="P35" s="189"/>
    </row>
    <row r="36" spans="1:19" x14ac:dyDescent="0.3">
      <c r="A36" s="30" t="s">
        <v>14</v>
      </c>
      <c r="B36" s="71"/>
      <c r="C36" s="69"/>
      <c r="D36" s="69"/>
      <c r="E36" s="69"/>
      <c r="F36" s="69"/>
      <c r="G36" s="69"/>
      <c r="H36" s="69"/>
      <c r="I36" s="69"/>
      <c r="K36" s="14"/>
      <c r="L36" s="14"/>
      <c r="M36" s="14"/>
      <c r="N36" s="14">
        <f t="shared" si="29"/>
        <v>0</v>
      </c>
      <c r="P36" s="189"/>
    </row>
    <row r="37" spans="1:19" x14ac:dyDescent="0.3">
      <c r="A37" s="30" t="s">
        <v>14</v>
      </c>
      <c r="B37" s="71"/>
      <c r="C37" s="69"/>
      <c r="D37" s="69"/>
      <c r="E37" s="69"/>
      <c r="F37" s="69"/>
      <c r="G37" s="69"/>
      <c r="H37" s="69"/>
      <c r="I37" s="69"/>
      <c r="K37" s="14"/>
      <c r="L37" s="14"/>
      <c r="M37" s="14"/>
      <c r="N37" s="14">
        <f t="shared" si="29"/>
        <v>0</v>
      </c>
      <c r="P37" s="189"/>
    </row>
    <row r="38" spans="1:19" x14ac:dyDescent="0.3">
      <c r="A38" s="30" t="s">
        <v>14</v>
      </c>
      <c r="B38" s="71"/>
      <c r="C38" s="69"/>
      <c r="D38" s="69"/>
      <c r="E38" s="69"/>
      <c r="F38" s="69"/>
      <c r="G38" s="69"/>
      <c r="H38" s="69"/>
      <c r="I38" s="69"/>
      <c r="K38" s="14"/>
      <c r="L38" s="14"/>
      <c r="M38" s="14"/>
      <c r="N38" s="14">
        <f>SUM(C38:I38)</f>
        <v>0</v>
      </c>
      <c r="P38" s="189"/>
    </row>
    <row r="39" spans="1:19" x14ac:dyDescent="0.3">
      <c r="A39" s="18" t="s">
        <v>7</v>
      </c>
      <c r="B39" s="20"/>
      <c r="C39" s="20">
        <f>C15+C21+C27+C33</f>
        <v>145279.5016223944</v>
      </c>
      <c r="D39" s="20">
        <f t="shared" ref="D39:N39" si="30">D15+D21+D27+D33</f>
        <v>146330.55950670154</v>
      </c>
      <c r="E39" s="20">
        <f t="shared" si="30"/>
        <v>147231.0593300513</v>
      </c>
      <c r="F39" s="20">
        <f t="shared" si="30"/>
        <v>148462.36813893905</v>
      </c>
      <c r="G39" s="20">
        <f t="shared" si="30"/>
        <v>149302.83437629818</v>
      </c>
      <c r="H39" s="20">
        <f t="shared" si="30"/>
        <v>151229.88878271455</v>
      </c>
      <c r="I39" s="20">
        <f>I15+I21+I27+I33</f>
        <v>152488.8330695339</v>
      </c>
      <c r="K39" s="20">
        <f t="shared" si="30"/>
        <v>145805.03056454798</v>
      </c>
      <c r="L39" s="20">
        <f t="shared" si="30"/>
        <v>149742.99673950739</v>
      </c>
      <c r="M39" s="20">
        <f t="shared" si="30"/>
        <v>148617.86354666186</v>
      </c>
      <c r="N39" s="20">
        <f t="shared" si="30"/>
        <v>1040325.0448266329</v>
      </c>
      <c r="P39" s="190"/>
    </row>
    <row r="40" spans="1:19" ht="14.5" x14ac:dyDescent="0.35">
      <c r="P40"/>
    </row>
    <row r="41" spans="1:19" x14ac:dyDescent="0.3">
      <c r="A41" s="42" t="s">
        <v>108</v>
      </c>
      <c r="B41" s="43"/>
      <c r="C41" s="44"/>
      <c r="D41" s="44"/>
      <c r="E41" s="44"/>
      <c r="F41" s="44"/>
      <c r="G41" s="44"/>
      <c r="H41" s="44"/>
      <c r="I41" s="44"/>
      <c r="J41" s="44"/>
      <c r="K41" s="44"/>
      <c r="L41" s="44"/>
      <c r="M41" s="44"/>
      <c r="N41" s="44"/>
      <c r="O41" s="44"/>
      <c r="P41" s="44"/>
    </row>
    <row r="42" spans="1:19" customFormat="1" ht="14.5" x14ac:dyDescent="0.35">
      <c r="J42" s="28"/>
      <c r="O42" s="28"/>
      <c r="Q42" s="28"/>
    </row>
    <row r="43" spans="1:19" ht="26" x14ac:dyDescent="0.3">
      <c r="A43" s="668" t="s">
        <v>197</v>
      </c>
      <c r="B43" s="655" t="s">
        <v>0</v>
      </c>
      <c r="C43" s="3">
        <v>2017</v>
      </c>
      <c r="D43" s="3">
        <v>2018</v>
      </c>
      <c r="E43" s="3">
        <v>2019</v>
      </c>
      <c r="F43" s="3">
        <v>2020</v>
      </c>
      <c r="G43" s="3">
        <v>2021</v>
      </c>
      <c r="H43" s="3">
        <v>2022</v>
      </c>
      <c r="I43" s="121">
        <v>2023</v>
      </c>
      <c r="K43" s="181" t="s">
        <v>280</v>
      </c>
      <c r="L43" s="181" t="s">
        <v>281</v>
      </c>
      <c r="M43" s="181" t="s">
        <v>256</v>
      </c>
      <c r="N43" s="4" t="s">
        <v>59</v>
      </c>
      <c r="P43" s="661" t="s">
        <v>290</v>
      </c>
    </row>
    <row r="44" spans="1:19" x14ac:dyDescent="0.3">
      <c r="A44" s="667"/>
      <c r="B44" s="656"/>
      <c r="C44" s="77">
        <v>12</v>
      </c>
      <c r="D44" s="77">
        <v>12</v>
      </c>
      <c r="E44" s="77">
        <v>12</v>
      </c>
      <c r="F44" s="77">
        <v>12</v>
      </c>
      <c r="G44" s="77">
        <v>12</v>
      </c>
      <c r="H44" s="77">
        <v>12</v>
      </c>
      <c r="I44" s="183">
        <v>12</v>
      </c>
      <c r="K44" s="78">
        <v>12</v>
      </c>
      <c r="L44" s="78">
        <v>12</v>
      </c>
      <c r="M44" s="78">
        <v>12</v>
      </c>
      <c r="N44" s="78">
        <f>SUM(C44:I44)</f>
        <v>84</v>
      </c>
      <c r="P44" s="662"/>
    </row>
    <row r="45" spans="1:19" s="5" customFormat="1" x14ac:dyDescent="0.3">
      <c r="A45" s="7" t="s">
        <v>62</v>
      </c>
      <c r="B45" s="8"/>
      <c r="C45" s="262">
        <v>6828.72</v>
      </c>
      <c r="D45" s="262">
        <v>7524.85</v>
      </c>
      <c r="E45" s="262">
        <v>7600.0985000000001</v>
      </c>
      <c r="F45" s="262">
        <v>7638.0989924999994</v>
      </c>
      <c r="G45" s="262">
        <v>7676.289487462499</v>
      </c>
      <c r="H45" s="262">
        <v>7714.6709348998111</v>
      </c>
      <c r="I45" s="263">
        <v>7753.2442895743097</v>
      </c>
      <c r="J45" s="28"/>
      <c r="K45" s="208">
        <f t="shared" ref="K45:K46" si="31">IFERROR(AVERAGE(C45:D45),"")</f>
        <v>7176.7849999999999</v>
      </c>
      <c r="L45" s="14">
        <f t="shared" ref="L45:L46" si="32">IFERROR(AVERAGE(E45:I45),"")</f>
        <v>7676.4804408873242</v>
      </c>
      <c r="M45" s="207">
        <f t="shared" ref="M45:M46" si="33">IFERROR(AVERAGE(C45:I45),"")</f>
        <v>7533.7103149195173</v>
      </c>
      <c r="N45" s="10">
        <f>SUM(C45:I45)</f>
        <v>52735.972204436621</v>
      </c>
      <c r="O45" s="28"/>
      <c r="P45" s="188"/>
      <c r="Q45" s="28"/>
      <c r="S45" s="6"/>
    </row>
    <row r="46" spans="1:19" x14ac:dyDescent="0.3">
      <c r="A46" s="109" t="s">
        <v>63</v>
      </c>
      <c r="B46" s="15"/>
      <c r="C46" s="106">
        <v>0</v>
      </c>
      <c r="D46" s="106">
        <v>0</v>
      </c>
      <c r="E46" s="106">
        <v>0</v>
      </c>
      <c r="F46" s="106">
        <v>0</v>
      </c>
      <c r="G46" s="106">
        <v>0</v>
      </c>
      <c r="H46" s="106">
        <v>0</v>
      </c>
      <c r="I46" s="185">
        <v>0</v>
      </c>
      <c r="K46" s="208">
        <f t="shared" si="31"/>
        <v>0</v>
      </c>
      <c r="L46" s="14">
        <f t="shared" si="32"/>
        <v>0</v>
      </c>
      <c r="M46" s="207">
        <f t="shared" si="33"/>
        <v>0</v>
      </c>
      <c r="N46" s="16">
        <f>SUM(C46:I46)</f>
        <v>0</v>
      </c>
      <c r="P46" s="189"/>
      <c r="S46" s="11"/>
    </row>
    <row r="47" spans="1:19" x14ac:dyDescent="0.3">
      <c r="A47" s="18" t="s">
        <v>203</v>
      </c>
      <c r="B47" s="68"/>
      <c r="C47" s="19">
        <f>C45+C46</f>
        <v>6828.72</v>
      </c>
      <c r="D47" s="19">
        <f t="shared" ref="D47:N47" si="34">D45+D46</f>
        <v>7524.85</v>
      </c>
      <c r="E47" s="19">
        <f t="shared" si="34"/>
        <v>7600.0985000000001</v>
      </c>
      <c r="F47" s="19">
        <f t="shared" si="34"/>
        <v>7638.0989924999994</v>
      </c>
      <c r="G47" s="19">
        <f t="shared" si="34"/>
        <v>7676.289487462499</v>
      </c>
      <c r="H47" s="19">
        <f t="shared" si="34"/>
        <v>7714.6709348998111</v>
      </c>
      <c r="I47" s="35">
        <f>I45+I46</f>
        <v>7753.2442895743097</v>
      </c>
      <c r="K47" s="20">
        <f t="shared" ref="K47:M47" si="35">K45+K46</f>
        <v>7176.7849999999999</v>
      </c>
      <c r="L47" s="35">
        <f t="shared" si="35"/>
        <v>7676.4804408873242</v>
      </c>
      <c r="M47" s="35">
        <f t="shared" si="35"/>
        <v>7533.7103149195173</v>
      </c>
      <c r="N47" s="35">
        <f t="shared" si="34"/>
        <v>52735.972204436621</v>
      </c>
      <c r="P47" s="204"/>
      <c r="S47" s="11"/>
    </row>
    <row r="48" spans="1:19" x14ac:dyDescent="0.3">
      <c r="C48" s="13"/>
      <c r="D48" s="13"/>
      <c r="E48" s="13"/>
      <c r="F48" s="13"/>
      <c r="G48" s="13"/>
      <c r="H48" s="13"/>
      <c r="I48" s="13"/>
      <c r="K48" s="13"/>
      <c r="L48" s="13"/>
      <c r="M48" s="13"/>
      <c r="N48" s="13"/>
      <c r="P48" s="2"/>
      <c r="S48" s="11"/>
    </row>
    <row r="49" spans="1:19" ht="14.5" x14ac:dyDescent="0.35">
      <c r="C49" s="13"/>
      <c r="D49" s="13"/>
      <c r="E49" s="13"/>
      <c r="F49" s="13"/>
      <c r="G49" s="13"/>
      <c r="H49" s="13"/>
      <c r="I49" s="13"/>
      <c r="K49" s="13"/>
      <c r="L49" s="13"/>
      <c r="M49" s="13"/>
      <c r="N49" s="13"/>
      <c r="P49"/>
    </row>
    <row r="50" spans="1:19" ht="26" x14ac:dyDescent="0.3">
      <c r="A50" s="668" t="s">
        <v>194</v>
      </c>
      <c r="B50" s="655" t="s">
        <v>0</v>
      </c>
      <c r="C50" s="3">
        <v>2017</v>
      </c>
      <c r="D50" s="3">
        <v>2018</v>
      </c>
      <c r="E50" s="3">
        <v>2019</v>
      </c>
      <c r="F50" s="3">
        <v>2020</v>
      </c>
      <c r="G50" s="3">
        <v>2021</v>
      </c>
      <c r="H50" s="3">
        <v>2022</v>
      </c>
      <c r="I50" s="121">
        <v>2023</v>
      </c>
      <c r="K50" s="181" t="s">
        <v>280</v>
      </c>
      <c r="L50" s="181" t="s">
        <v>281</v>
      </c>
      <c r="M50" s="181" t="s">
        <v>256</v>
      </c>
      <c r="N50" s="4" t="s">
        <v>59</v>
      </c>
      <c r="P50" s="661" t="s">
        <v>290</v>
      </c>
    </row>
    <row r="51" spans="1:19" x14ac:dyDescent="0.3">
      <c r="A51" s="667"/>
      <c r="B51" s="656"/>
      <c r="C51" s="77">
        <v>12</v>
      </c>
      <c r="D51" s="77">
        <v>12</v>
      </c>
      <c r="E51" s="77">
        <v>12</v>
      </c>
      <c r="F51" s="77">
        <v>12</v>
      </c>
      <c r="G51" s="77">
        <v>12</v>
      </c>
      <c r="H51" s="77">
        <v>12</v>
      </c>
      <c r="I51" s="183">
        <v>12</v>
      </c>
      <c r="K51" s="78">
        <v>12</v>
      </c>
      <c r="L51" s="78">
        <v>12</v>
      </c>
      <c r="M51" s="78">
        <v>12</v>
      </c>
      <c r="N51" s="78">
        <f>SUM(C51:I51)</f>
        <v>84</v>
      </c>
      <c r="P51" s="662"/>
      <c r="S51" s="11"/>
    </row>
    <row r="52" spans="1:19" s="5" customFormat="1" x14ac:dyDescent="0.3">
      <c r="A52" s="21" t="s">
        <v>193</v>
      </c>
      <c r="B52" s="22"/>
      <c r="C52" s="110">
        <f>SUM(C53:C55)</f>
        <v>0</v>
      </c>
      <c r="D52" s="110">
        <f t="shared" ref="D52:I52" si="36">SUM(D53:D55)</f>
        <v>0</v>
      </c>
      <c r="E52" s="110">
        <f t="shared" si="36"/>
        <v>0</v>
      </c>
      <c r="F52" s="110">
        <f t="shared" si="36"/>
        <v>0</v>
      </c>
      <c r="G52" s="110">
        <f t="shared" si="36"/>
        <v>0</v>
      </c>
      <c r="H52" s="110">
        <f t="shared" si="36"/>
        <v>0</v>
      </c>
      <c r="I52" s="186">
        <f t="shared" si="36"/>
        <v>0</v>
      </c>
      <c r="J52" s="28"/>
      <c r="K52" s="178">
        <f t="shared" ref="K52:M52" si="37">SUM(K53:K55)</f>
        <v>0</v>
      </c>
      <c r="L52" s="24">
        <f t="shared" si="37"/>
        <v>0</v>
      </c>
      <c r="M52" s="110">
        <f t="shared" si="37"/>
        <v>0</v>
      </c>
      <c r="N52" s="24">
        <f>SUM(N53:N55)</f>
        <v>0</v>
      </c>
      <c r="O52" s="28"/>
      <c r="P52" s="188"/>
      <c r="Q52" s="28"/>
    </row>
    <row r="53" spans="1:19" x14ac:dyDescent="0.3">
      <c r="A53" s="25" t="s">
        <v>1</v>
      </c>
      <c r="B53" s="26"/>
      <c r="C53" s="13">
        <v>0</v>
      </c>
      <c r="D53" s="13">
        <v>0</v>
      </c>
      <c r="E53" s="13">
        <v>0</v>
      </c>
      <c r="F53" s="13">
        <v>0</v>
      </c>
      <c r="G53" s="13">
        <v>0</v>
      </c>
      <c r="H53" s="13">
        <v>0</v>
      </c>
      <c r="I53" s="159">
        <v>0</v>
      </c>
      <c r="K53" s="208">
        <f t="shared" ref="K53:K55" si="38">IFERROR(AVERAGE(C53:D53),"")</f>
        <v>0</v>
      </c>
      <c r="L53" s="14">
        <f t="shared" ref="L53:L55" si="39">IFERROR(AVERAGE(E53:I53),"")</f>
        <v>0</v>
      </c>
      <c r="M53" s="207">
        <f t="shared" ref="M53:M55" si="40">IFERROR(AVERAGE(C53:I53),"")</f>
        <v>0</v>
      </c>
      <c r="N53" s="14">
        <f>SUM(C53:I53)</f>
        <v>0</v>
      </c>
      <c r="P53" s="188" t="str">
        <f>'2. CEP offre de base'!K22</f>
        <v>Formule CV Indices G, R et S (1+C)</v>
      </c>
    </row>
    <row r="54" spans="1:19" x14ac:dyDescent="0.3">
      <c r="A54" s="25" t="s">
        <v>163</v>
      </c>
      <c r="B54" s="26"/>
      <c r="C54" s="13">
        <f>C15</f>
        <v>0</v>
      </c>
      <c r="D54" s="13">
        <f t="shared" ref="D54:I54" si="41">D15</f>
        <v>0</v>
      </c>
      <c r="E54" s="13">
        <f t="shared" si="41"/>
        <v>0</v>
      </c>
      <c r="F54" s="13">
        <f t="shared" si="41"/>
        <v>0</v>
      </c>
      <c r="G54" s="13">
        <f t="shared" si="41"/>
        <v>0</v>
      </c>
      <c r="H54" s="13">
        <f t="shared" si="41"/>
        <v>0</v>
      </c>
      <c r="I54" s="159">
        <f t="shared" si="41"/>
        <v>0</v>
      </c>
      <c r="K54" s="208">
        <f t="shared" si="38"/>
        <v>0</v>
      </c>
      <c r="L54" s="14">
        <f t="shared" si="39"/>
        <v>0</v>
      </c>
      <c r="M54" s="207">
        <f t="shared" si="40"/>
        <v>0</v>
      </c>
      <c r="N54" s="14">
        <f t="shared" ref="N54:N55" si="42">SUM(C54:I54)</f>
        <v>0</v>
      </c>
      <c r="P54" s="189" t="str">
        <f>'2. CEP offre de base'!K23</f>
        <v>Formule CV Indice S (1+C)</v>
      </c>
    </row>
    <row r="55" spans="1:19" x14ac:dyDescent="0.3">
      <c r="A55" s="25" t="s">
        <v>2</v>
      </c>
      <c r="B55" s="26"/>
      <c r="C55" s="13">
        <v>0</v>
      </c>
      <c r="D55" s="13">
        <v>0</v>
      </c>
      <c r="E55" s="13">
        <v>0</v>
      </c>
      <c r="F55" s="13">
        <v>0</v>
      </c>
      <c r="G55" s="13">
        <v>0</v>
      </c>
      <c r="H55" s="13">
        <v>0</v>
      </c>
      <c r="I55" s="185">
        <v>0</v>
      </c>
      <c r="K55" s="208">
        <f t="shared" si="38"/>
        <v>0</v>
      </c>
      <c r="L55" s="14">
        <f t="shared" si="39"/>
        <v>0</v>
      </c>
      <c r="M55" s="207">
        <f t="shared" si="40"/>
        <v>0</v>
      </c>
      <c r="N55" s="14">
        <f t="shared" si="42"/>
        <v>0</v>
      </c>
      <c r="P55" s="189" t="str">
        <f>'2. CEP offre de base'!K24</f>
        <v>Formule CV Indice R</v>
      </c>
    </row>
    <row r="56" spans="1:19" s="5" customFormat="1" x14ac:dyDescent="0.3">
      <c r="A56" s="21" t="s">
        <v>195</v>
      </c>
      <c r="B56" s="22"/>
      <c r="C56" s="23">
        <f>SUM(C57:C64)</f>
        <v>186654.43655372877</v>
      </c>
      <c r="D56" s="23">
        <f t="shared" ref="D56:H56" si="43">SUM(D57:D64)</f>
        <v>186894.88386674796</v>
      </c>
      <c r="E56" s="23">
        <f t="shared" si="43"/>
        <v>187931.38956160448</v>
      </c>
      <c r="F56" s="23">
        <f t="shared" si="43"/>
        <v>197096.30504348947</v>
      </c>
      <c r="G56" s="23">
        <f t="shared" si="43"/>
        <v>198066.02775019116</v>
      </c>
      <c r="H56" s="23">
        <f t="shared" si="43"/>
        <v>200277.58998355246</v>
      </c>
      <c r="I56" s="179">
        <f>SUM(I57:I64)</f>
        <v>201732.9757971612</v>
      </c>
      <c r="J56" s="28"/>
      <c r="K56" s="178">
        <f t="shared" ref="K56:M56" si="44">SUM(K57:K64)</f>
        <v>186774.66021023836</v>
      </c>
      <c r="L56" s="24">
        <f t="shared" si="44"/>
        <v>197020.85762719976</v>
      </c>
      <c r="M56" s="23">
        <f t="shared" si="44"/>
        <v>194093.37265092504</v>
      </c>
      <c r="N56" s="24">
        <f>SUM(N57:N64)</f>
        <v>1358653.6085564753</v>
      </c>
      <c r="O56" s="28"/>
      <c r="P56" s="190"/>
      <c r="Q56" s="28"/>
    </row>
    <row r="57" spans="1:19" x14ac:dyDescent="0.3">
      <c r="A57" s="25" t="s">
        <v>3</v>
      </c>
      <c r="B57" s="27"/>
      <c r="C57" s="264">
        <v>7983.8306845128855</v>
      </c>
      <c r="D57" s="264">
        <v>7886.8026852015992</v>
      </c>
      <c r="E57" s="264">
        <v>7916.019128013957</v>
      </c>
      <c r="F57" s="264">
        <v>8178.8656433904252</v>
      </c>
      <c r="G57" s="264">
        <v>8206.6090462280808</v>
      </c>
      <c r="H57" s="264">
        <v>8267.598283933241</v>
      </c>
      <c r="I57" s="265">
        <v>8309.7530059509463</v>
      </c>
      <c r="K57" s="208">
        <f t="shared" ref="K57:K64" si="45">IFERROR(AVERAGE(C57:D57),"")</f>
        <v>7935.3166848572419</v>
      </c>
      <c r="L57" s="14">
        <f t="shared" ref="L57:L64" si="46">IFERROR(AVERAGE(E57:I57),"")</f>
        <v>8175.7690215033308</v>
      </c>
      <c r="M57" s="207">
        <f t="shared" ref="M57:M64" si="47">IFERROR(AVERAGE(C57:I57),"")</f>
        <v>8107.0683538901631</v>
      </c>
      <c r="N57" s="14">
        <f t="shared" ref="N57:N63" si="48">SUM(C57:I57)</f>
        <v>56749.47847723114</v>
      </c>
      <c r="P57" s="189" t="str">
        <f>'2. CEP offre de base'!K26</f>
        <v>Formule Cf Indice FG</v>
      </c>
    </row>
    <row r="58" spans="1:19" x14ac:dyDescent="0.3">
      <c r="A58" s="25" t="s">
        <v>162</v>
      </c>
      <c r="B58" s="26"/>
      <c r="C58" s="264">
        <f>C21</f>
        <v>145279.5016223944</v>
      </c>
      <c r="D58" s="264">
        <f t="shared" ref="D58:I58" si="49">D21</f>
        <v>146330.55950670154</v>
      </c>
      <c r="E58" s="264">
        <f t="shared" si="49"/>
        <v>147231.0593300513</v>
      </c>
      <c r="F58" s="264">
        <f t="shared" si="49"/>
        <v>148462.36813893905</v>
      </c>
      <c r="G58" s="264">
        <f t="shared" si="49"/>
        <v>149302.83437629818</v>
      </c>
      <c r="H58" s="264">
        <f t="shared" si="49"/>
        <v>151229.88878271455</v>
      </c>
      <c r="I58" s="265">
        <f t="shared" si="49"/>
        <v>152488.8330695339</v>
      </c>
      <c r="K58" s="208">
        <f t="shared" si="45"/>
        <v>145805.03056454798</v>
      </c>
      <c r="L58" s="14">
        <f t="shared" si="46"/>
        <v>149742.99673950739</v>
      </c>
      <c r="M58" s="207">
        <f t="shared" si="47"/>
        <v>148617.86354666186</v>
      </c>
      <c r="N58" s="14">
        <f t="shared" si="48"/>
        <v>1040325.0448266329</v>
      </c>
      <c r="P58" s="189" t="str">
        <f>'2. CEP offre de base'!K28</f>
        <v>Formule Cf Indice S (1+C)</v>
      </c>
    </row>
    <row r="59" spans="1:19" x14ac:dyDescent="0.3">
      <c r="A59" s="25" t="s">
        <v>4</v>
      </c>
      <c r="B59" s="26"/>
      <c r="C59" s="264">
        <v>11842.777083426128</v>
      </c>
      <c r="D59" s="264">
        <v>11325.100688227067</v>
      </c>
      <c r="E59" s="264">
        <v>11345.441713819064</v>
      </c>
      <c r="F59" s="264">
        <v>11528.790055230273</v>
      </c>
      <c r="G59" s="264">
        <v>11548.118226180211</v>
      </c>
      <c r="H59" s="264">
        <v>11590.713997365447</v>
      </c>
      <c r="I59" s="265">
        <v>11620.081120172914</v>
      </c>
      <c r="K59" s="208">
        <f t="shared" si="45"/>
        <v>11583.938885826597</v>
      </c>
      <c r="L59" s="14">
        <f t="shared" si="46"/>
        <v>11526.629022553581</v>
      </c>
      <c r="M59" s="207">
        <f t="shared" si="47"/>
        <v>11543.003269203013</v>
      </c>
      <c r="N59" s="14">
        <f t="shared" si="48"/>
        <v>80801.022884421094</v>
      </c>
      <c r="P59" s="189" t="str">
        <f>'2. CEP offre de base'!K29</f>
        <v>Formule Cf Indice S (1+C)</v>
      </c>
    </row>
    <row r="60" spans="1:19" x14ac:dyDescent="0.3">
      <c r="A60" s="25" t="s">
        <v>5</v>
      </c>
      <c r="B60" s="26"/>
      <c r="C60" s="264">
        <v>4577.2981434433141</v>
      </c>
      <c r="D60" s="264">
        <v>4746.2875781512739</v>
      </c>
      <c r="E60" s="264">
        <v>4779.9082606391603</v>
      </c>
      <c r="F60" s="264">
        <v>4973.4085669699989</v>
      </c>
      <c r="G60" s="264">
        <v>5005.3760001128176</v>
      </c>
      <c r="H60" s="264">
        <v>5075.7279633891976</v>
      </c>
      <c r="I60" s="265">
        <v>5124.3234853362665</v>
      </c>
      <c r="K60" s="208">
        <f t="shared" si="45"/>
        <v>4661.7928607972935</v>
      </c>
      <c r="L60" s="14">
        <f t="shared" si="46"/>
        <v>4991.7488552894883</v>
      </c>
      <c r="M60" s="207">
        <f t="shared" si="47"/>
        <v>4897.4757140060037</v>
      </c>
      <c r="N60" s="14">
        <f t="shared" si="48"/>
        <v>34282.329998042027</v>
      </c>
      <c r="P60" s="189" t="str">
        <f>'2. CEP offre de base'!K30</f>
        <v>Formule Cf Indice FG</v>
      </c>
    </row>
    <row r="61" spans="1:19" x14ac:dyDescent="0.3">
      <c r="A61" s="25" t="s">
        <v>172</v>
      </c>
      <c r="B61" s="26"/>
      <c r="C61" s="13"/>
      <c r="D61" s="13"/>
      <c r="E61" s="13"/>
      <c r="F61" s="13"/>
      <c r="G61" s="13"/>
      <c r="H61" s="13"/>
      <c r="I61" s="159"/>
      <c r="K61" s="208" t="str">
        <f t="shared" si="45"/>
        <v/>
      </c>
      <c r="L61" s="14" t="str">
        <f t="shared" si="46"/>
        <v/>
      </c>
      <c r="M61" s="207" t="str">
        <f t="shared" si="47"/>
        <v/>
      </c>
      <c r="N61" s="14">
        <f t="shared" si="48"/>
        <v>0</v>
      </c>
      <c r="P61" s="189"/>
    </row>
    <row r="62" spans="1:19" ht="12.25" customHeight="1" x14ac:dyDescent="0.3">
      <c r="A62" s="25" t="s">
        <v>178</v>
      </c>
      <c r="B62" s="26"/>
      <c r="C62" s="13"/>
      <c r="D62" s="13"/>
      <c r="E62" s="13"/>
      <c r="F62" s="13"/>
      <c r="G62" s="13"/>
      <c r="H62" s="13"/>
      <c r="I62" s="159"/>
      <c r="K62" s="208" t="str">
        <f t="shared" si="45"/>
        <v/>
      </c>
      <c r="L62" s="14" t="str">
        <f t="shared" si="46"/>
        <v/>
      </c>
      <c r="M62" s="207" t="str">
        <f t="shared" si="47"/>
        <v/>
      </c>
      <c r="N62" s="14">
        <f t="shared" si="48"/>
        <v>0</v>
      </c>
      <c r="P62" s="189"/>
    </row>
    <row r="63" spans="1:19" x14ac:dyDescent="0.3">
      <c r="A63" s="25" t="s">
        <v>6</v>
      </c>
      <c r="B63" s="26"/>
      <c r="C63" s="264">
        <v>6016.4602177828256</v>
      </c>
      <c r="D63" s="264">
        <v>6130.4152718563773</v>
      </c>
      <c r="E63" s="264">
        <v>6164.4275437984406</v>
      </c>
      <c r="F63" s="264">
        <v>13288.741837871783</v>
      </c>
      <c r="G63" s="264">
        <v>13321.080742155265</v>
      </c>
      <c r="H63" s="264">
        <v>13392.250508587022</v>
      </c>
      <c r="I63" s="265">
        <v>13441.410080007276</v>
      </c>
      <c r="K63" s="208">
        <f t="shared" si="45"/>
        <v>6073.437744819601</v>
      </c>
      <c r="L63" s="14">
        <f t="shared" si="46"/>
        <v>11921.582142483958</v>
      </c>
      <c r="M63" s="207">
        <f t="shared" si="47"/>
        <v>10250.683743151283</v>
      </c>
      <c r="N63" s="14">
        <f t="shared" si="48"/>
        <v>71754.786202058982</v>
      </c>
      <c r="P63" s="189" t="str">
        <f>'2. CEP offre de base'!K33</f>
        <v>Formule Cf Indice ING</v>
      </c>
    </row>
    <row r="64" spans="1:19" s="5" customFormat="1" x14ac:dyDescent="0.3">
      <c r="A64" s="25" t="s">
        <v>192</v>
      </c>
      <c r="B64" s="26"/>
      <c r="C64" s="264">
        <v>10954.568802169229</v>
      </c>
      <c r="D64" s="264">
        <v>10475.718136610089</v>
      </c>
      <c r="E64" s="264">
        <v>10494.533585282539</v>
      </c>
      <c r="F64" s="264">
        <v>10664.130801087931</v>
      </c>
      <c r="G64" s="264">
        <v>10682.009359216599</v>
      </c>
      <c r="H64" s="264">
        <v>10721.41044756301</v>
      </c>
      <c r="I64" s="266">
        <v>10748.575036159889</v>
      </c>
      <c r="J64" s="28"/>
      <c r="K64" s="208">
        <f t="shared" si="45"/>
        <v>10715.143469389659</v>
      </c>
      <c r="L64" s="14">
        <f t="shared" si="46"/>
        <v>10662.131845861993</v>
      </c>
      <c r="M64" s="207">
        <f t="shared" si="47"/>
        <v>10677.278024012756</v>
      </c>
      <c r="N64" s="14">
        <f>SUM(C64:I64)</f>
        <v>74740.946168089285</v>
      </c>
      <c r="O64" s="28"/>
      <c r="P64" s="189"/>
      <c r="Q64" s="28"/>
    </row>
    <row r="65" spans="1:19" x14ac:dyDescent="0.3">
      <c r="A65" s="21" t="s">
        <v>196</v>
      </c>
      <c r="B65" s="22"/>
      <c r="C65" s="267">
        <v>405728.76761600003</v>
      </c>
      <c r="D65" s="267">
        <v>379791.77779999992</v>
      </c>
      <c r="E65" s="267">
        <v>379791.77779999992</v>
      </c>
      <c r="F65" s="267">
        <v>379791.77779999992</v>
      </c>
      <c r="G65" s="267">
        <v>379791.77779999992</v>
      </c>
      <c r="H65" s="267">
        <v>379791.77779999992</v>
      </c>
      <c r="I65" s="268">
        <v>379791.77779999992</v>
      </c>
      <c r="K65" s="178">
        <f t="shared" ref="K65" si="50">IFERROR(AVERAGE(C65:D65),"")</f>
        <v>392760.27270799997</v>
      </c>
      <c r="L65" s="24">
        <f t="shared" ref="L65" si="51">IFERROR(AVERAGE(E65:I65),"")</f>
        <v>379791.77779999992</v>
      </c>
      <c r="M65" s="23">
        <f t="shared" ref="M65" si="52">IFERROR(AVERAGE(C65:I65),"")</f>
        <v>383497.06205942848</v>
      </c>
      <c r="N65" s="24">
        <f t="shared" ref="N65" si="53">SUM(C65:I65)</f>
        <v>2684479.4344159993</v>
      </c>
      <c r="P65" s="190"/>
    </row>
    <row r="66" spans="1:19" x14ac:dyDescent="0.3">
      <c r="A66" s="18" t="s">
        <v>204</v>
      </c>
      <c r="B66" s="68"/>
      <c r="C66" s="19">
        <f>C52+C56+C65</f>
        <v>592383.20416972879</v>
      </c>
      <c r="D66" s="19">
        <f t="shared" ref="D66:N66" si="54">D52+D56+D65</f>
        <v>566686.66166674788</v>
      </c>
      <c r="E66" s="19">
        <f t="shared" si="54"/>
        <v>567723.1673616044</v>
      </c>
      <c r="F66" s="19">
        <f t="shared" si="54"/>
        <v>576888.08284348936</v>
      </c>
      <c r="G66" s="19">
        <f t="shared" si="54"/>
        <v>577857.80555019109</v>
      </c>
      <c r="H66" s="19">
        <f t="shared" si="54"/>
        <v>580069.36778355238</v>
      </c>
      <c r="I66" s="35">
        <f t="shared" si="54"/>
        <v>581524.75359716115</v>
      </c>
      <c r="J66" s="228"/>
      <c r="K66" s="35">
        <f t="shared" si="54"/>
        <v>579534.93291823834</v>
      </c>
      <c r="L66" s="35">
        <f t="shared" si="54"/>
        <v>576812.63542719965</v>
      </c>
      <c r="M66" s="35">
        <f t="shared" si="54"/>
        <v>577590.4347103535</v>
      </c>
      <c r="N66" s="35">
        <f t="shared" si="54"/>
        <v>4043133.0429724744</v>
      </c>
      <c r="O66" s="228"/>
      <c r="P66" s="204"/>
    </row>
    <row r="67" spans="1:19" x14ac:dyDescent="0.3">
      <c r="B67" s="2"/>
      <c r="C67" s="2"/>
      <c r="D67" s="2"/>
      <c r="E67" s="2"/>
      <c r="F67" s="2"/>
      <c r="G67" s="2"/>
      <c r="H67" s="2"/>
      <c r="I67" s="2"/>
      <c r="J67" s="2"/>
      <c r="K67" s="2"/>
      <c r="L67" s="2"/>
      <c r="M67" s="2"/>
      <c r="N67" s="2"/>
      <c r="O67" s="2"/>
      <c r="P67" s="2"/>
      <c r="S67" s="11"/>
    </row>
    <row r="68" spans="1:19" x14ac:dyDescent="0.3">
      <c r="A68" s="111" t="s">
        <v>198</v>
      </c>
      <c r="B68" s="112"/>
      <c r="C68" s="238">
        <f>C64/C66</f>
        <v>1.8492369002127449E-2</v>
      </c>
      <c r="D68" s="238">
        <f t="shared" ref="D68:N68" si="55">D64/D66</f>
        <v>1.8485909136803643E-2</v>
      </c>
      <c r="E68" s="238">
        <f t="shared" si="55"/>
        <v>1.8485300915328285E-2</v>
      </c>
      <c r="F68" s="238">
        <f t="shared" si="55"/>
        <v>1.8485614659474819E-2</v>
      </c>
      <c r="G68" s="238">
        <f t="shared" si="55"/>
        <v>1.8485532697868508E-2</v>
      </c>
      <c r="H68" s="238">
        <f t="shared" si="55"/>
        <v>1.8482979869337984E-2</v>
      </c>
      <c r="I68" s="239">
        <f t="shared" si="55"/>
        <v>1.848343508968792E-2</v>
      </c>
      <c r="K68" s="241">
        <f t="shared" si="55"/>
        <v>1.8489210676971162E-2</v>
      </c>
      <c r="L68" s="239">
        <f t="shared" si="55"/>
        <v>1.8484567069106232E-2</v>
      </c>
      <c r="M68" s="239">
        <f t="shared" si="55"/>
        <v>1.8485898280789798E-2</v>
      </c>
      <c r="N68" s="241">
        <f t="shared" si="55"/>
        <v>1.8485898280789798E-2</v>
      </c>
      <c r="S68" s="11"/>
    </row>
    <row r="70" spans="1:19" x14ac:dyDescent="0.3">
      <c r="C70" s="236"/>
      <c r="D70" s="236"/>
      <c r="E70" s="236"/>
      <c r="F70" s="236"/>
      <c r="G70" s="236"/>
      <c r="H70" s="236"/>
      <c r="I70" s="236"/>
    </row>
    <row r="71" spans="1:19" x14ac:dyDescent="0.3">
      <c r="C71" s="13"/>
    </row>
  </sheetData>
  <mergeCells count="11">
    <mergeCell ref="P5:P6"/>
    <mergeCell ref="P13:P14"/>
    <mergeCell ref="P43:P44"/>
    <mergeCell ref="P50:P51"/>
    <mergeCell ref="A50:A51"/>
    <mergeCell ref="B50:B51"/>
    <mergeCell ref="A1:N1"/>
    <mergeCell ref="A43:A44"/>
    <mergeCell ref="B43:B44"/>
    <mergeCell ref="A13:A14"/>
    <mergeCell ref="A5:A6"/>
  </mergeCells>
  <printOptions horizontalCentered="1"/>
  <pageMargins left="0.70866141732283472" right="0.70866141732283472" top="0.74803149606299213" bottom="0.74803149606299213" header="0.31496062992125984" footer="0.31496062992125984"/>
  <pageSetup paperSize="9" scale="48" orientation="landscape" r:id="rId1"/>
  <headerFooter>
    <oddHeader>&amp;L&amp;F&amp;R&amp;A</oddHeader>
    <oddFooter>&amp;L&amp;D&amp;C&amp;P/&amp;N&amp;R&amp;T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59999389629810485"/>
    <pageSetUpPr fitToPage="1"/>
  </sheetPr>
  <dimension ref="A1:P71"/>
  <sheetViews>
    <sheetView showGridLines="0" zoomScale="85" zoomScaleNormal="85" workbookViewId="0">
      <selection sqref="A1:N1"/>
    </sheetView>
  </sheetViews>
  <sheetFormatPr baseColWidth="10" defaultColWidth="11.26953125" defaultRowHeight="13" x14ac:dyDescent="0.3"/>
  <cols>
    <col min="1" max="1" width="34.7265625" style="2" customWidth="1"/>
    <col min="2" max="2" width="11" style="17" customWidth="1"/>
    <col min="3" max="9" width="11" style="28" customWidth="1"/>
    <col min="10" max="10" width="6.7265625" style="28" customWidth="1"/>
    <col min="11" max="14" width="11" style="28" customWidth="1"/>
    <col min="15" max="15" width="6.7265625" style="28" customWidth="1"/>
    <col min="16" max="16" width="27.453125" style="28" bestFit="1" customWidth="1"/>
    <col min="17" max="16384" width="11.26953125" style="2"/>
  </cols>
  <sheetData>
    <row r="1" spans="1:16" ht="16.75" customHeight="1" x14ac:dyDescent="0.3">
      <c r="A1" s="675" t="s">
        <v>109</v>
      </c>
      <c r="B1" s="664"/>
      <c r="C1" s="664"/>
      <c r="D1" s="664"/>
      <c r="E1" s="664"/>
      <c r="F1" s="664"/>
      <c r="G1" s="664"/>
      <c r="H1" s="664"/>
      <c r="I1" s="664"/>
      <c r="J1" s="664"/>
      <c r="K1" s="664"/>
      <c r="L1" s="664"/>
      <c r="M1" s="664"/>
      <c r="N1" s="665"/>
    </row>
    <row r="3" spans="1:16" x14ac:dyDescent="0.3">
      <c r="A3" s="42" t="s">
        <v>69</v>
      </c>
      <c r="B3" s="43"/>
      <c r="C3" s="44"/>
      <c r="D3" s="44"/>
      <c r="E3" s="44"/>
      <c r="F3" s="44"/>
      <c r="G3" s="44"/>
      <c r="H3" s="44"/>
      <c r="I3" s="44"/>
      <c r="J3" s="44"/>
      <c r="K3" s="44"/>
      <c r="L3" s="44"/>
      <c r="M3" s="44"/>
      <c r="N3" s="44"/>
      <c r="O3" s="44"/>
      <c r="P3" s="44"/>
    </row>
    <row r="5" spans="1:16" ht="26" x14ac:dyDescent="0.3">
      <c r="A5" s="653" t="s">
        <v>169</v>
      </c>
      <c r="B5" s="80"/>
      <c r="C5" s="3">
        <v>2017</v>
      </c>
      <c r="D5" s="3">
        <v>2018</v>
      </c>
      <c r="E5" s="3">
        <v>2019</v>
      </c>
      <c r="F5" s="3">
        <v>2020</v>
      </c>
      <c r="G5" s="3">
        <v>2021</v>
      </c>
      <c r="H5" s="3">
        <v>2022</v>
      </c>
      <c r="I5" s="3">
        <v>2023</v>
      </c>
      <c r="K5" s="181" t="s">
        <v>280</v>
      </c>
      <c r="L5" s="181" t="s">
        <v>281</v>
      </c>
      <c r="M5" s="181" t="s">
        <v>256</v>
      </c>
      <c r="N5" s="4" t="s">
        <v>59</v>
      </c>
      <c r="P5" s="661" t="s">
        <v>290</v>
      </c>
    </row>
    <row r="6" spans="1:16" x14ac:dyDescent="0.3">
      <c r="A6" s="676"/>
      <c r="B6" s="81"/>
      <c r="C6" s="77">
        <v>12</v>
      </c>
      <c r="D6" s="77">
        <v>12</v>
      </c>
      <c r="E6" s="77">
        <v>12</v>
      </c>
      <c r="F6" s="77">
        <v>12</v>
      </c>
      <c r="G6" s="77">
        <v>12</v>
      </c>
      <c r="H6" s="77">
        <v>12</v>
      </c>
      <c r="I6" s="77">
        <v>12</v>
      </c>
      <c r="K6" s="78">
        <v>12</v>
      </c>
      <c r="L6" s="78">
        <v>12</v>
      </c>
      <c r="M6" s="78">
        <v>12</v>
      </c>
      <c r="N6" s="78">
        <f>SUM(C6:I6)</f>
        <v>84</v>
      </c>
      <c r="P6" s="662"/>
    </row>
    <row r="7" spans="1:16" x14ac:dyDescent="0.3">
      <c r="A7" s="83" t="s">
        <v>105</v>
      </c>
      <c r="B7" s="86"/>
      <c r="C7" s="210">
        <v>124000</v>
      </c>
      <c r="D7" s="210">
        <v>124000</v>
      </c>
      <c r="E7" s="210">
        <v>124000</v>
      </c>
      <c r="F7" s="210">
        <v>124000</v>
      </c>
      <c r="G7" s="210">
        <v>124000</v>
      </c>
      <c r="H7" s="210">
        <v>124000</v>
      </c>
      <c r="I7" s="210">
        <v>124000</v>
      </c>
      <c r="K7" s="10">
        <f>IFERROR(AVERAGE(C7:D7),"")</f>
        <v>124000</v>
      </c>
      <c r="L7" s="10">
        <f t="shared" ref="L7:L9" si="0">IFERROR(AVERAGE(E7:I7),"")</f>
        <v>124000</v>
      </c>
      <c r="M7" s="10">
        <f t="shared" ref="M7:M9" si="1">IFERROR(AVERAGE(C7:I7),"")</f>
        <v>124000</v>
      </c>
      <c r="N7" s="10">
        <f>SUM(C7:I7)</f>
        <v>868000</v>
      </c>
      <c r="P7" s="188"/>
    </row>
    <row r="8" spans="1:16" x14ac:dyDescent="0.3">
      <c r="A8" s="84" t="s">
        <v>106</v>
      </c>
      <c r="B8" s="87"/>
      <c r="C8" s="211">
        <v>124000</v>
      </c>
      <c r="D8" s="211">
        <v>124000</v>
      </c>
      <c r="E8" s="211">
        <v>124000</v>
      </c>
      <c r="F8" s="211">
        <v>124000</v>
      </c>
      <c r="G8" s="211">
        <v>124000</v>
      </c>
      <c r="H8" s="211">
        <v>124000</v>
      </c>
      <c r="I8" s="211">
        <v>124000</v>
      </c>
      <c r="K8" s="14">
        <f t="shared" ref="K8:K9" si="2">IFERROR(AVERAGE(C8:D8),"")</f>
        <v>124000</v>
      </c>
      <c r="L8" s="14">
        <f t="shared" si="0"/>
        <v>124000</v>
      </c>
      <c r="M8" s="14">
        <f t="shared" si="1"/>
        <v>124000</v>
      </c>
      <c r="N8" s="14">
        <f t="shared" ref="N8:N9" si="3">SUM(C8:I8)</f>
        <v>868000</v>
      </c>
      <c r="P8" s="189"/>
    </row>
    <row r="9" spans="1:16" x14ac:dyDescent="0.3">
      <c r="A9" s="85" t="s">
        <v>107</v>
      </c>
      <c r="B9" s="88"/>
      <c r="C9" s="250">
        <v>3720</v>
      </c>
      <c r="D9" s="250">
        <v>3720</v>
      </c>
      <c r="E9" s="250">
        <v>3720</v>
      </c>
      <c r="F9" s="250">
        <v>3720</v>
      </c>
      <c r="G9" s="250">
        <v>3720</v>
      </c>
      <c r="H9" s="250">
        <v>3720</v>
      </c>
      <c r="I9" s="250">
        <v>3720</v>
      </c>
      <c r="K9" s="14">
        <f t="shared" si="2"/>
        <v>3720</v>
      </c>
      <c r="L9" s="14">
        <f t="shared" si="0"/>
        <v>3720</v>
      </c>
      <c r="M9" s="14">
        <f t="shared" si="1"/>
        <v>3720</v>
      </c>
      <c r="N9" s="14">
        <f t="shared" si="3"/>
        <v>26040</v>
      </c>
      <c r="P9" s="204"/>
    </row>
    <row r="10" spans="1:16" ht="14.5" x14ac:dyDescent="0.35">
      <c r="A10" s="82" t="s">
        <v>7</v>
      </c>
      <c r="B10" s="20"/>
      <c r="C10" s="20">
        <f>SUM(C7:C9)</f>
        <v>251720</v>
      </c>
      <c r="D10" s="20">
        <f t="shared" ref="D10:I10" si="4">SUM(D7:D9)</f>
        <v>251720</v>
      </c>
      <c r="E10" s="20">
        <f t="shared" si="4"/>
        <v>251720</v>
      </c>
      <c r="F10" s="20">
        <f t="shared" si="4"/>
        <v>251720</v>
      </c>
      <c r="G10" s="20">
        <f t="shared" si="4"/>
        <v>251720</v>
      </c>
      <c r="H10" s="20">
        <f t="shared" si="4"/>
        <v>251720</v>
      </c>
      <c r="I10" s="20">
        <f t="shared" si="4"/>
        <v>251720</v>
      </c>
      <c r="K10" s="20">
        <f t="shared" ref="K10:M10" si="5">SUM(K7:K9)</f>
        <v>251720</v>
      </c>
      <c r="L10" s="20">
        <f t="shared" si="5"/>
        <v>251720</v>
      </c>
      <c r="M10" s="20">
        <f t="shared" si="5"/>
        <v>251720</v>
      </c>
      <c r="N10" s="20">
        <f>SUM(N7:N9)</f>
        <v>1762040</v>
      </c>
      <c r="P10" s="229"/>
    </row>
    <row r="11" spans="1:16" ht="14.5" x14ac:dyDescent="0.35">
      <c r="P11"/>
    </row>
    <row r="12" spans="1:16" ht="14.5" x14ac:dyDescent="0.35">
      <c r="P12"/>
    </row>
    <row r="13" spans="1:16" ht="26" x14ac:dyDescent="0.3">
      <c r="A13" s="653" t="s">
        <v>73</v>
      </c>
      <c r="B13" s="80"/>
      <c r="C13" s="3">
        <v>2017</v>
      </c>
      <c r="D13" s="3">
        <v>2018</v>
      </c>
      <c r="E13" s="3">
        <v>2019</v>
      </c>
      <c r="F13" s="3">
        <v>2020</v>
      </c>
      <c r="G13" s="3">
        <v>2021</v>
      </c>
      <c r="H13" s="3">
        <v>2022</v>
      </c>
      <c r="I13" s="3">
        <v>2023</v>
      </c>
      <c r="K13" s="181" t="s">
        <v>280</v>
      </c>
      <c r="L13" s="181" t="s">
        <v>281</v>
      </c>
      <c r="M13" s="181" t="s">
        <v>256</v>
      </c>
      <c r="N13" s="4" t="s">
        <v>59</v>
      </c>
      <c r="P13" s="663" t="s">
        <v>290</v>
      </c>
    </row>
    <row r="14" spans="1:16" x14ac:dyDescent="0.3">
      <c r="A14" s="654"/>
      <c r="B14" s="81"/>
      <c r="C14" s="77">
        <v>12</v>
      </c>
      <c r="D14" s="77">
        <v>12</v>
      </c>
      <c r="E14" s="77">
        <v>12</v>
      </c>
      <c r="F14" s="77">
        <v>12</v>
      </c>
      <c r="G14" s="77">
        <v>12</v>
      </c>
      <c r="H14" s="77">
        <v>12</v>
      </c>
      <c r="I14" s="77">
        <v>12</v>
      </c>
      <c r="K14" s="78">
        <v>12</v>
      </c>
      <c r="L14" s="78">
        <v>12</v>
      </c>
      <c r="M14" s="78">
        <v>12</v>
      </c>
      <c r="N14" s="78">
        <f>SUM(C14:I14)</f>
        <v>84</v>
      </c>
      <c r="P14" s="663"/>
    </row>
    <row r="15" spans="1:16" s="5" customFormat="1" x14ac:dyDescent="0.3">
      <c r="A15" s="65" t="s">
        <v>19</v>
      </c>
      <c r="B15" s="70"/>
      <c r="C15" s="73">
        <f>SUM(C16:C20)</f>
        <v>543057.28237805597</v>
      </c>
      <c r="D15" s="73">
        <f>SUM(D16:D20)</f>
        <v>545543.57226738101</v>
      </c>
      <c r="E15" s="73">
        <f t="shared" ref="E15:I15" si="6">SUM(E16:E20)</f>
        <v>547856.57023056538</v>
      </c>
      <c r="F15" s="73">
        <f t="shared" si="6"/>
        <v>549449.35394043417</v>
      </c>
      <c r="G15" s="73">
        <f t="shared" si="6"/>
        <v>551021.29329535586</v>
      </c>
      <c r="H15" s="73">
        <f t="shared" si="6"/>
        <v>563421.75472342782</v>
      </c>
      <c r="I15" s="73">
        <f t="shared" si="6"/>
        <v>565008.60612732347</v>
      </c>
      <c r="J15" s="28"/>
      <c r="K15" s="216">
        <f>IFERROR(AVERAGE(C15:D15),"")</f>
        <v>544300.42732271855</v>
      </c>
      <c r="L15" s="216">
        <f t="shared" ref="L15:L16" si="7">IFERROR(AVERAGE(E15:I15),"")</f>
        <v>555351.51566342136</v>
      </c>
      <c r="M15" s="216">
        <f t="shared" ref="M15:M16" si="8">IFERROR(AVERAGE(C15:I15),"")</f>
        <v>552194.06185179204</v>
      </c>
      <c r="N15" s="216">
        <f>SUM(N16:N20)</f>
        <v>3865358.4329625443</v>
      </c>
      <c r="O15" s="28"/>
      <c r="P15" s="189"/>
    </row>
    <row r="16" spans="1:16" x14ac:dyDescent="0.3">
      <c r="A16" s="30" t="s">
        <v>14</v>
      </c>
      <c r="B16" s="71"/>
      <c r="C16" s="249">
        <v>543057.28237805597</v>
      </c>
      <c r="D16" s="249">
        <v>545543.57226738101</v>
      </c>
      <c r="E16" s="249">
        <v>547856.57023056538</v>
      </c>
      <c r="F16" s="249">
        <v>549449.35394043417</v>
      </c>
      <c r="G16" s="249">
        <v>551021.29329535586</v>
      </c>
      <c r="H16" s="249">
        <v>563421.75472342782</v>
      </c>
      <c r="I16" s="249">
        <v>565008.60612732347</v>
      </c>
      <c r="K16" s="14">
        <f t="shared" ref="K16" si="9">IFERROR(AVERAGE(C16:D16),"")</f>
        <v>544300.42732271855</v>
      </c>
      <c r="L16" s="14">
        <f t="shared" si="7"/>
        <v>555351.51566342136</v>
      </c>
      <c r="M16" s="14">
        <f t="shared" si="8"/>
        <v>552194.06185179204</v>
      </c>
      <c r="N16" s="14">
        <f t="shared" ref="N16:N20" si="10">SUM(C16:I16)</f>
        <v>3865358.4329625443</v>
      </c>
      <c r="P16" s="189"/>
    </row>
    <row r="17" spans="1:16" x14ac:dyDescent="0.3">
      <c r="A17" s="30" t="s">
        <v>14</v>
      </c>
      <c r="B17" s="71"/>
      <c r="C17" s="69"/>
      <c r="D17" s="69"/>
      <c r="E17" s="69"/>
      <c r="F17" s="69"/>
      <c r="G17" s="69"/>
      <c r="H17" s="69"/>
      <c r="I17" s="69"/>
      <c r="K17" s="14"/>
      <c r="L17" s="14"/>
      <c r="M17" s="14"/>
      <c r="N17" s="14">
        <f t="shared" si="10"/>
        <v>0</v>
      </c>
      <c r="P17" s="189"/>
    </row>
    <row r="18" spans="1:16" x14ac:dyDescent="0.3">
      <c r="A18" s="30" t="s">
        <v>14</v>
      </c>
      <c r="B18" s="71"/>
      <c r="C18" s="69"/>
      <c r="D18" s="69"/>
      <c r="E18" s="69"/>
      <c r="F18" s="69"/>
      <c r="G18" s="69"/>
      <c r="H18" s="69"/>
      <c r="I18" s="69"/>
      <c r="K18" s="14"/>
      <c r="L18" s="14"/>
      <c r="M18" s="14"/>
      <c r="N18" s="14">
        <f t="shared" si="10"/>
        <v>0</v>
      </c>
      <c r="P18" s="189"/>
    </row>
    <row r="19" spans="1:16" x14ac:dyDescent="0.3">
      <c r="A19" s="30" t="s">
        <v>14</v>
      </c>
      <c r="B19" s="71"/>
      <c r="C19" s="69"/>
      <c r="D19" s="69"/>
      <c r="E19" s="69"/>
      <c r="F19" s="69"/>
      <c r="G19" s="69"/>
      <c r="H19" s="69"/>
      <c r="I19" s="69"/>
      <c r="K19" s="208"/>
      <c r="L19" s="14"/>
      <c r="M19" s="207"/>
      <c r="N19" s="14">
        <f t="shared" si="10"/>
        <v>0</v>
      </c>
      <c r="P19" s="189"/>
    </row>
    <row r="20" spans="1:16" x14ac:dyDescent="0.3">
      <c r="A20" s="30" t="s">
        <v>14</v>
      </c>
      <c r="B20" s="71"/>
      <c r="C20" s="69"/>
      <c r="D20" s="69"/>
      <c r="E20" s="69"/>
      <c r="F20" s="69"/>
      <c r="G20" s="69"/>
      <c r="H20" s="69"/>
      <c r="I20" s="69"/>
      <c r="K20" s="208"/>
      <c r="L20" s="14"/>
      <c r="M20" s="207"/>
      <c r="N20" s="207">
        <f t="shared" si="10"/>
        <v>0</v>
      </c>
      <c r="P20" s="189"/>
    </row>
    <row r="21" spans="1:16" s="5" customFormat="1" x14ac:dyDescent="0.3">
      <c r="A21" s="65" t="s">
        <v>56</v>
      </c>
      <c r="B21" s="72"/>
      <c r="C21" s="74">
        <f t="shared" ref="C21:H21" si="11">SUM(C22:C26)</f>
        <v>145279.5016223944</v>
      </c>
      <c r="D21" s="74">
        <f t="shared" si="11"/>
        <v>146330.55950670154</v>
      </c>
      <c r="E21" s="74">
        <f t="shared" si="11"/>
        <v>147231.0593300513</v>
      </c>
      <c r="F21" s="74">
        <f t="shared" si="11"/>
        <v>148462.36813893905</v>
      </c>
      <c r="G21" s="74">
        <f t="shared" si="11"/>
        <v>149302.83437629818</v>
      </c>
      <c r="H21" s="74">
        <f t="shared" si="11"/>
        <v>151229.88878271455</v>
      </c>
      <c r="I21" s="74">
        <f>SUM(I22:I26)</f>
        <v>152488.8330695339</v>
      </c>
      <c r="J21" s="28"/>
      <c r="K21" s="227">
        <f>IFERROR(AVERAGE(C21:D21),"")</f>
        <v>145805.03056454798</v>
      </c>
      <c r="L21" s="217">
        <f t="shared" ref="L21:L22" si="12">IFERROR(AVERAGE(E21:I21),"")</f>
        <v>149742.99673950739</v>
      </c>
      <c r="M21" s="205">
        <f t="shared" ref="M21:M22" si="13">IFERROR(AVERAGE(C21:I21),"")</f>
        <v>148617.86354666186</v>
      </c>
      <c r="N21" s="205">
        <f t="shared" ref="N21" si="14">SUM(N22:N26)</f>
        <v>1040325.0448266329</v>
      </c>
      <c r="O21" s="28"/>
      <c r="P21" s="189"/>
    </row>
    <row r="22" spans="1:16" x14ac:dyDescent="0.3">
      <c r="A22" s="30" t="s">
        <v>14</v>
      </c>
      <c r="B22" s="71"/>
      <c r="C22" s="249">
        <v>145279.5016223944</v>
      </c>
      <c r="D22" s="249">
        <v>146330.55950670154</v>
      </c>
      <c r="E22" s="249">
        <v>147231.0593300513</v>
      </c>
      <c r="F22" s="249">
        <v>148462.36813893905</v>
      </c>
      <c r="G22" s="249">
        <v>149302.83437629818</v>
      </c>
      <c r="H22" s="249">
        <v>151229.88878271455</v>
      </c>
      <c r="I22" s="249">
        <v>152488.8330695339</v>
      </c>
      <c r="K22" s="208">
        <f t="shared" ref="K22" si="15">IFERROR(AVERAGE(C22:D22),"")</f>
        <v>145805.03056454798</v>
      </c>
      <c r="L22" s="14">
        <f t="shared" si="12"/>
        <v>149742.99673950739</v>
      </c>
      <c r="M22" s="207">
        <f t="shared" si="13"/>
        <v>148617.86354666186</v>
      </c>
      <c r="N22" s="207">
        <f t="shared" ref="N22:N26" si="16">SUM(C22:I22)</f>
        <v>1040325.0448266329</v>
      </c>
      <c r="P22" s="189"/>
    </row>
    <row r="23" spans="1:16" x14ac:dyDescent="0.3">
      <c r="A23" s="30" t="s">
        <v>14</v>
      </c>
      <c r="B23" s="71"/>
      <c r="C23" s="69"/>
      <c r="D23" s="69"/>
      <c r="E23" s="69"/>
      <c r="F23" s="69"/>
      <c r="G23" s="69"/>
      <c r="H23" s="69"/>
      <c r="I23" s="69"/>
      <c r="K23" s="208"/>
      <c r="L23" s="14"/>
      <c r="M23" s="207"/>
      <c r="N23" s="207">
        <f t="shared" si="16"/>
        <v>0</v>
      </c>
      <c r="P23" s="189"/>
    </row>
    <row r="24" spans="1:16" x14ac:dyDescent="0.3">
      <c r="A24" s="30" t="s">
        <v>14</v>
      </c>
      <c r="B24" s="71"/>
      <c r="C24" s="69"/>
      <c r="D24" s="69"/>
      <c r="E24" s="69"/>
      <c r="F24" s="69"/>
      <c r="G24" s="69"/>
      <c r="H24" s="69"/>
      <c r="I24" s="69"/>
      <c r="K24" s="208"/>
      <c r="L24" s="14"/>
      <c r="M24" s="207"/>
      <c r="N24" s="207">
        <f t="shared" si="16"/>
        <v>0</v>
      </c>
      <c r="P24" s="189"/>
    </row>
    <row r="25" spans="1:16" x14ac:dyDescent="0.3">
      <c r="A25" s="30" t="s">
        <v>14</v>
      </c>
      <c r="B25" s="71"/>
      <c r="C25" s="69"/>
      <c r="D25" s="69"/>
      <c r="E25" s="69"/>
      <c r="F25" s="69"/>
      <c r="G25" s="69"/>
      <c r="H25" s="69"/>
      <c r="I25" s="69"/>
      <c r="K25" s="208"/>
      <c r="L25" s="14"/>
      <c r="M25" s="207"/>
      <c r="N25" s="207">
        <f t="shared" si="16"/>
        <v>0</v>
      </c>
      <c r="P25" s="189"/>
    </row>
    <row r="26" spans="1:16" x14ac:dyDescent="0.3">
      <c r="A26" s="30" t="s">
        <v>14</v>
      </c>
      <c r="B26" s="71"/>
      <c r="C26" s="69"/>
      <c r="D26" s="69"/>
      <c r="E26" s="69"/>
      <c r="F26" s="69"/>
      <c r="G26" s="69"/>
      <c r="H26" s="69"/>
      <c r="I26" s="69"/>
      <c r="K26" s="208"/>
      <c r="L26" s="14"/>
      <c r="M26" s="207"/>
      <c r="N26" s="207">
        <f t="shared" si="16"/>
        <v>0</v>
      </c>
      <c r="P26" s="189"/>
    </row>
    <row r="27" spans="1:16" s="5" customFormat="1" x14ac:dyDescent="0.3">
      <c r="A27" s="65" t="s">
        <v>57</v>
      </c>
      <c r="B27" s="72"/>
      <c r="C27" s="74">
        <f t="shared" ref="C27:H27" si="17">SUM(C28:C32)</f>
        <v>0</v>
      </c>
      <c r="D27" s="74">
        <f t="shared" si="17"/>
        <v>0</v>
      </c>
      <c r="E27" s="74">
        <f t="shared" si="17"/>
        <v>0</v>
      </c>
      <c r="F27" s="74">
        <f t="shared" si="17"/>
        <v>0</v>
      </c>
      <c r="G27" s="74">
        <f t="shared" si="17"/>
        <v>0</v>
      </c>
      <c r="H27" s="74">
        <f t="shared" si="17"/>
        <v>0</v>
      </c>
      <c r="I27" s="74">
        <f>SUM(I28:I32)</f>
        <v>0</v>
      </c>
      <c r="J27" s="28"/>
      <c r="K27" s="227">
        <f>IFERROR(AVERAGE(C27:D27),"")</f>
        <v>0</v>
      </c>
      <c r="L27" s="217">
        <f t="shared" ref="L27:L28" si="18">IFERROR(AVERAGE(E27:I27),"")</f>
        <v>0</v>
      </c>
      <c r="M27" s="205">
        <f t="shared" ref="M27:M28" si="19">IFERROR(AVERAGE(C27:I27),"")</f>
        <v>0</v>
      </c>
      <c r="N27" s="205">
        <f t="shared" ref="N27" si="20">SUM(N28:N32)</f>
        <v>0</v>
      </c>
      <c r="O27" s="28"/>
      <c r="P27" s="189"/>
    </row>
    <row r="28" spans="1:16" x14ac:dyDescent="0.3">
      <c r="A28" s="30" t="s">
        <v>14</v>
      </c>
      <c r="B28" s="71"/>
      <c r="C28" s="69"/>
      <c r="D28" s="69"/>
      <c r="E28" s="69"/>
      <c r="F28" s="69"/>
      <c r="G28" s="69"/>
      <c r="H28" s="69"/>
      <c r="I28" s="69"/>
      <c r="K28" s="208" t="str">
        <f t="shared" ref="K28" si="21">IFERROR(AVERAGE(C28:D28),"")</f>
        <v/>
      </c>
      <c r="L28" s="14" t="str">
        <f t="shared" si="18"/>
        <v/>
      </c>
      <c r="M28" s="207" t="str">
        <f t="shared" si="19"/>
        <v/>
      </c>
      <c r="N28" s="207">
        <f t="shared" ref="N28:N32" si="22">SUM(C28:I28)</f>
        <v>0</v>
      </c>
      <c r="P28" s="189"/>
    </row>
    <row r="29" spans="1:16" x14ac:dyDescent="0.3">
      <c r="A29" s="30" t="s">
        <v>14</v>
      </c>
      <c r="B29" s="71"/>
      <c r="C29" s="69"/>
      <c r="D29" s="69"/>
      <c r="E29" s="69"/>
      <c r="F29" s="69"/>
      <c r="G29" s="69"/>
      <c r="H29" s="69"/>
      <c r="I29" s="69"/>
      <c r="K29" s="208"/>
      <c r="L29" s="14"/>
      <c r="M29" s="207"/>
      <c r="N29" s="207">
        <f t="shared" si="22"/>
        <v>0</v>
      </c>
      <c r="P29" s="189"/>
    </row>
    <row r="30" spans="1:16" x14ac:dyDescent="0.3">
      <c r="A30" s="30" t="s">
        <v>14</v>
      </c>
      <c r="B30" s="71"/>
      <c r="C30" s="69"/>
      <c r="D30" s="69"/>
      <c r="E30" s="69"/>
      <c r="F30" s="69"/>
      <c r="G30" s="69"/>
      <c r="H30" s="69"/>
      <c r="I30" s="69"/>
      <c r="K30" s="208"/>
      <c r="L30" s="14"/>
      <c r="M30" s="207"/>
      <c r="N30" s="207">
        <f t="shared" si="22"/>
        <v>0</v>
      </c>
      <c r="P30" s="189"/>
    </row>
    <row r="31" spans="1:16" x14ac:dyDescent="0.3">
      <c r="A31" s="30" t="s">
        <v>14</v>
      </c>
      <c r="B31" s="71"/>
      <c r="C31" s="69"/>
      <c r="D31" s="69"/>
      <c r="E31" s="69"/>
      <c r="F31" s="69"/>
      <c r="G31" s="69"/>
      <c r="H31" s="69"/>
      <c r="I31" s="69"/>
      <c r="K31" s="208"/>
      <c r="L31" s="14"/>
      <c r="M31" s="207"/>
      <c r="N31" s="207">
        <f t="shared" si="22"/>
        <v>0</v>
      </c>
      <c r="P31" s="189"/>
    </row>
    <row r="32" spans="1:16" x14ac:dyDescent="0.3">
      <c r="A32" s="30" t="s">
        <v>14</v>
      </c>
      <c r="B32" s="71"/>
      <c r="C32" s="69"/>
      <c r="D32" s="69"/>
      <c r="E32" s="69"/>
      <c r="F32" s="69"/>
      <c r="G32" s="69"/>
      <c r="H32" s="69"/>
      <c r="I32" s="69"/>
      <c r="K32" s="208"/>
      <c r="L32" s="14"/>
      <c r="M32" s="207"/>
      <c r="N32" s="207">
        <f t="shared" si="22"/>
        <v>0</v>
      </c>
      <c r="P32" s="189"/>
    </row>
    <row r="33" spans="1:16" x14ac:dyDescent="0.3">
      <c r="A33" s="65" t="s">
        <v>58</v>
      </c>
      <c r="B33" s="71"/>
      <c r="C33" s="74">
        <f t="shared" ref="C33:H33" si="23">SUM(C34:C38)</f>
        <v>0</v>
      </c>
      <c r="D33" s="74">
        <f t="shared" si="23"/>
        <v>0</v>
      </c>
      <c r="E33" s="74">
        <f t="shared" si="23"/>
        <v>0</v>
      </c>
      <c r="F33" s="74">
        <f t="shared" si="23"/>
        <v>0</v>
      </c>
      <c r="G33" s="74">
        <f t="shared" si="23"/>
        <v>0</v>
      </c>
      <c r="H33" s="74">
        <f t="shared" si="23"/>
        <v>0</v>
      </c>
      <c r="I33" s="74">
        <f>SUM(I34:I38)</f>
        <v>0</v>
      </c>
      <c r="K33" s="227">
        <f>IFERROR(AVERAGE(C33:D33),"")</f>
        <v>0</v>
      </c>
      <c r="L33" s="217">
        <f t="shared" ref="L33:L34" si="24">IFERROR(AVERAGE(E33:I33),"")</f>
        <v>0</v>
      </c>
      <c r="M33" s="205">
        <f t="shared" ref="M33:M34" si="25">IFERROR(AVERAGE(C33:I33),"")</f>
        <v>0</v>
      </c>
      <c r="N33" s="205">
        <f>SUM(N34:N38)</f>
        <v>0</v>
      </c>
      <c r="P33" s="189"/>
    </row>
    <row r="34" spans="1:16" x14ac:dyDescent="0.3">
      <c r="A34" s="30" t="s">
        <v>14</v>
      </c>
      <c r="B34" s="71"/>
      <c r="C34" s="69"/>
      <c r="D34" s="69"/>
      <c r="E34" s="69"/>
      <c r="F34" s="69"/>
      <c r="G34" s="69"/>
      <c r="H34" s="69"/>
      <c r="I34" s="69"/>
      <c r="K34" s="208" t="str">
        <f t="shared" ref="K34" si="26">IFERROR(AVERAGE(C34:D34),"")</f>
        <v/>
      </c>
      <c r="L34" s="14" t="str">
        <f t="shared" si="24"/>
        <v/>
      </c>
      <c r="M34" s="207" t="str">
        <f t="shared" si="25"/>
        <v/>
      </c>
      <c r="N34" s="207">
        <f t="shared" ref="N34:N37" si="27">SUM(C34:I34)</f>
        <v>0</v>
      </c>
      <c r="P34" s="189"/>
    </row>
    <row r="35" spans="1:16" x14ac:dyDescent="0.3">
      <c r="A35" s="30" t="s">
        <v>14</v>
      </c>
      <c r="B35" s="71"/>
      <c r="C35" s="69"/>
      <c r="D35" s="69"/>
      <c r="E35" s="69"/>
      <c r="F35" s="69"/>
      <c r="G35" s="69"/>
      <c r="H35" s="69"/>
      <c r="I35" s="69"/>
      <c r="K35" s="208"/>
      <c r="L35" s="14"/>
      <c r="M35" s="207"/>
      <c r="N35" s="14">
        <f>SUM(C35:I35)</f>
        <v>0</v>
      </c>
      <c r="P35" s="189"/>
    </row>
    <row r="36" spans="1:16" x14ac:dyDescent="0.3">
      <c r="A36" s="30" t="s">
        <v>14</v>
      </c>
      <c r="B36" s="71"/>
      <c r="C36" s="69"/>
      <c r="D36" s="69"/>
      <c r="E36" s="69"/>
      <c r="F36" s="69"/>
      <c r="G36" s="69"/>
      <c r="H36" s="69"/>
      <c r="I36" s="69"/>
      <c r="K36" s="14"/>
      <c r="L36" s="14"/>
      <c r="M36" s="14"/>
      <c r="N36" s="14">
        <f t="shared" si="27"/>
        <v>0</v>
      </c>
      <c r="P36" s="189"/>
    </row>
    <row r="37" spans="1:16" x14ac:dyDescent="0.3">
      <c r="A37" s="30" t="s">
        <v>14</v>
      </c>
      <c r="B37" s="71"/>
      <c r="C37" s="69"/>
      <c r="D37" s="69"/>
      <c r="E37" s="69"/>
      <c r="F37" s="69"/>
      <c r="G37" s="69"/>
      <c r="H37" s="69"/>
      <c r="I37" s="69"/>
      <c r="K37" s="14"/>
      <c r="L37" s="14"/>
      <c r="M37" s="14"/>
      <c r="N37" s="14">
        <f t="shared" si="27"/>
        <v>0</v>
      </c>
      <c r="P37" s="189"/>
    </row>
    <row r="38" spans="1:16" x14ac:dyDescent="0.3">
      <c r="A38" s="30" t="s">
        <v>14</v>
      </c>
      <c r="B38" s="71"/>
      <c r="C38" s="69"/>
      <c r="D38" s="69"/>
      <c r="E38" s="69"/>
      <c r="F38" s="69"/>
      <c r="G38" s="69"/>
      <c r="H38" s="69"/>
      <c r="I38" s="69"/>
      <c r="K38" s="14"/>
      <c r="L38" s="14"/>
      <c r="M38" s="14"/>
      <c r="N38" s="14">
        <f>SUM(C38:I38)</f>
        <v>0</v>
      </c>
      <c r="P38" s="189"/>
    </row>
    <row r="39" spans="1:16" x14ac:dyDescent="0.3">
      <c r="A39" s="18" t="s">
        <v>7</v>
      </c>
      <c r="B39" s="20"/>
      <c r="C39" s="20">
        <f>C15+C21+C27+C33</f>
        <v>688336.7840004504</v>
      </c>
      <c r="D39" s="20">
        <f t="shared" ref="D39:H39" si="28">D15+D21+D27+D33</f>
        <v>691874.13177408255</v>
      </c>
      <c r="E39" s="20">
        <f t="shared" si="28"/>
        <v>695087.62956061668</v>
      </c>
      <c r="F39" s="20">
        <f t="shared" si="28"/>
        <v>697911.7220793732</v>
      </c>
      <c r="G39" s="20">
        <f t="shared" si="28"/>
        <v>700324.1276716541</v>
      </c>
      <c r="H39" s="20">
        <f t="shared" si="28"/>
        <v>714651.64350614231</v>
      </c>
      <c r="I39" s="20">
        <f>I15+I21+I27+I33</f>
        <v>717497.43919685739</v>
      </c>
      <c r="K39" s="20">
        <f t="shared" ref="K39:N39" si="29">K15+K21+K27+K33</f>
        <v>690105.45788726653</v>
      </c>
      <c r="L39" s="20">
        <f t="shared" si="29"/>
        <v>705094.51240292878</v>
      </c>
      <c r="M39" s="20">
        <f t="shared" si="29"/>
        <v>700811.92539845384</v>
      </c>
      <c r="N39" s="20">
        <f t="shared" si="29"/>
        <v>4905683.4777891776</v>
      </c>
      <c r="P39" s="190"/>
    </row>
    <row r="40" spans="1:16" ht="14.5" x14ac:dyDescent="0.35">
      <c r="P40"/>
    </row>
    <row r="41" spans="1:16" x14ac:dyDescent="0.3">
      <c r="A41" s="42" t="s">
        <v>108</v>
      </c>
      <c r="B41" s="43"/>
      <c r="C41" s="44"/>
      <c r="D41" s="44"/>
      <c r="E41" s="44"/>
      <c r="F41" s="44"/>
      <c r="G41" s="44"/>
      <c r="H41" s="44"/>
      <c r="I41" s="44"/>
      <c r="J41" s="44"/>
      <c r="K41" s="44"/>
      <c r="L41" s="44"/>
      <c r="M41" s="44"/>
      <c r="N41" s="44"/>
      <c r="O41" s="44"/>
      <c r="P41" s="44"/>
    </row>
    <row r="42" spans="1:16" customFormat="1" ht="14.5" x14ac:dyDescent="0.35">
      <c r="J42" s="28"/>
      <c r="O42" s="28"/>
    </row>
    <row r="43" spans="1:16" ht="13.15" customHeight="1" x14ac:dyDescent="0.3">
      <c r="A43" s="668" t="s">
        <v>197</v>
      </c>
      <c r="B43" s="655" t="s">
        <v>0</v>
      </c>
      <c r="C43" s="3">
        <v>2017</v>
      </c>
      <c r="D43" s="3">
        <v>2018</v>
      </c>
      <c r="E43" s="3">
        <v>2019</v>
      </c>
      <c r="F43" s="3">
        <v>2020</v>
      </c>
      <c r="G43" s="3">
        <v>2021</v>
      </c>
      <c r="H43" s="3">
        <v>2022</v>
      </c>
      <c r="I43" s="3">
        <v>2023</v>
      </c>
      <c r="K43" s="181" t="s">
        <v>280</v>
      </c>
      <c r="L43" s="181" t="s">
        <v>281</v>
      </c>
      <c r="M43" s="181" t="s">
        <v>256</v>
      </c>
      <c r="N43" s="4" t="s">
        <v>59</v>
      </c>
      <c r="P43" s="661" t="s">
        <v>290</v>
      </c>
    </row>
    <row r="44" spans="1:16" ht="24.65" customHeight="1" x14ac:dyDescent="0.3">
      <c r="A44" s="667"/>
      <c r="B44" s="656"/>
      <c r="C44" s="77">
        <v>12</v>
      </c>
      <c r="D44" s="77">
        <v>12</v>
      </c>
      <c r="E44" s="77">
        <v>12</v>
      </c>
      <c r="F44" s="77">
        <v>12</v>
      </c>
      <c r="G44" s="77">
        <v>12</v>
      </c>
      <c r="H44" s="77">
        <v>12</v>
      </c>
      <c r="I44" s="77">
        <v>8</v>
      </c>
      <c r="K44" s="78">
        <v>12</v>
      </c>
      <c r="L44" s="78">
        <v>12</v>
      </c>
      <c r="M44" s="78">
        <v>12</v>
      </c>
      <c r="N44" s="78">
        <f>SUM(C44:I44)</f>
        <v>80</v>
      </c>
      <c r="P44" s="662"/>
    </row>
    <row r="45" spans="1:16" s="5" customFormat="1" x14ac:dyDescent="0.3">
      <c r="A45" s="7" t="s">
        <v>62</v>
      </c>
      <c r="B45" s="8"/>
      <c r="C45" s="251">
        <v>6431.1711749999995</v>
      </c>
      <c r="D45" s="251">
        <v>6366.8594632499999</v>
      </c>
      <c r="E45" s="251">
        <v>6303.1908686174993</v>
      </c>
      <c r="F45" s="251">
        <v>6240.1589599313247</v>
      </c>
      <c r="G45" s="251">
        <v>6177.7573703320113</v>
      </c>
      <c r="H45" s="251">
        <v>6115.9797966286915</v>
      </c>
      <c r="I45" s="251">
        <v>6054.819998662404</v>
      </c>
      <c r="J45" s="28"/>
      <c r="K45" s="208">
        <f t="shared" ref="K45:K46" si="30">IFERROR(AVERAGE(C45:D45),"")</f>
        <v>6399.0153191249992</v>
      </c>
      <c r="L45" s="14">
        <f t="shared" ref="L45:L46" si="31">IFERROR(AVERAGE(E45:I45),"")</f>
        <v>6178.3813988343854</v>
      </c>
      <c r="M45" s="207">
        <f t="shared" ref="M45:M46" si="32">IFERROR(AVERAGE(C45:I45),"")</f>
        <v>6241.4196617745611</v>
      </c>
      <c r="N45" s="10">
        <f>SUM(C45:I45)</f>
        <v>43689.937632421927</v>
      </c>
      <c r="O45" s="28"/>
      <c r="P45" s="188"/>
    </row>
    <row r="46" spans="1:16" x14ac:dyDescent="0.3">
      <c r="A46" s="109" t="s">
        <v>63</v>
      </c>
      <c r="B46" s="15"/>
      <c r="C46" s="106">
        <v>0</v>
      </c>
      <c r="D46" s="106">
        <v>0</v>
      </c>
      <c r="E46" s="106">
        <v>0</v>
      </c>
      <c r="F46" s="106">
        <v>0</v>
      </c>
      <c r="G46" s="106">
        <v>0</v>
      </c>
      <c r="H46" s="106">
        <v>0</v>
      </c>
      <c r="I46" s="106">
        <v>0</v>
      </c>
      <c r="K46" s="208">
        <f t="shared" si="30"/>
        <v>0</v>
      </c>
      <c r="L46" s="14">
        <f t="shared" si="31"/>
        <v>0</v>
      </c>
      <c r="M46" s="207">
        <f t="shared" si="32"/>
        <v>0</v>
      </c>
      <c r="N46" s="16">
        <f>SUM(C46:I46)</f>
        <v>0</v>
      </c>
      <c r="P46" s="189"/>
    </row>
    <row r="47" spans="1:16" x14ac:dyDescent="0.3">
      <c r="A47" s="18" t="s">
        <v>203</v>
      </c>
      <c r="B47" s="68"/>
      <c r="C47" s="19">
        <f>C45+C46</f>
        <v>6431.1711749999995</v>
      </c>
      <c r="D47" s="19">
        <f t="shared" ref="D47:H47" si="33">D45+D46</f>
        <v>6366.8594632499999</v>
      </c>
      <c r="E47" s="19">
        <f t="shared" si="33"/>
        <v>6303.1908686174993</v>
      </c>
      <c r="F47" s="19">
        <f t="shared" si="33"/>
        <v>6240.1589599313247</v>
      </c>
      <c r="G47" s="19">
        <f t="shared" si="33"/>
        <v>6177.7573703320113</v>
      </c>
      <c r="H47" s="19">
        <f t="shared" si="33"/>
        <v>6115.9797966286915</v>
      </c>
      <c r="I47" s="19">
        <f>I45+I46</f>
        <v>6054.819998662404</v>
      </c>
      <c r="K47" s="20">
        <f t="shared" ref="K47:N47" si="34">K45+K46</f>
        <v>6399.0153191249992</v>
      </c>
      <c r="L47" s="35">
        <f t="shared" si="34"/>
        <v>6178.3813988343854</v>
      </c>
      <c r="M47" s="35">
        <f t="shared" si="34"/>
        <v>6241.4196617745611</v>
      </c>
      <c r="N47" s="35">
        <f t="shared" si="34"/>
        <v>43689.937632421927</v>
      </c>
      <c r="P47" s="204"/>
    </row>
    <row r="48" spans="1:16" x14ac:dyDescent="0.3">
      <c r="C48" s="13"/>
      <c r="D48" s="13"/>
      <c r="E48" s="13"/>
      <c r="F48" s="13"/>
      <c r="G48" s="13"/>
      <c r="H48" s="13"/>
      <c r="I48" s="13"/>
      <c r="K48" s="13"/>
      <c r="L48" s="13"/>
      <c r="M48" s="13"/>
      <c r="N48" s="13"/>
      <c r="P48" s="2"/>
    </row>
    <row r="49" spans="1:16" ht="14.5" x14ac:dyDescent="0.35">
      <c r="C49" s="13"/>
      <c r="D49" s="13"/>
      <c r="E49" s="13"/>
      <c r="F49" s="13"/>
      <c r="G49" s="13"/>
      <c r="H49" s="13"/>
      <c r="I49" s="13"/>
      <c r="K49" s="13"/>
      <c r="L49" s="13"/>
      <c r="M49" s="13"/>
      <c r="N49" s="13"/>
      <c r="P49"/>
    </row>
    <row r="50" spans="1:16" ht="26" x14ac:dyDescent="0.3">
      <c r="A50" s="668" t="s">
        <v>194</v>
      </c>
      <c r="B50" s="655" t="s">
        <v>0</v>
      </c>
      <c r="C50" s="3">
        <v>2017</v>
      </c>
      <c r="D50" s="3">
        <v>2018</v>
      </c>
      <c r="E50" s="3">
        <v>2019</v>
      </c>
      <c r="F50" s="3">
        <v>2020</v>
      </c>
      <c r="G50" s="3">
        <v>2021</v>
      </c>
      <c r="H50" s="3">
        <v>2022</v>
      </c>
      <c r="I50" s="3">
        <v>2023</v>
      </c>
      <c r="K50" s="181" t="s">
        <v>280</v>
      </c>
      <c r="L50" s="181" t="s">
        <v>281</v>
      </c>
      <c r="M50" s="181" t="s">
        <v>256</v>
      </c>
      <c r="N50" s="4" t="s">
        <v>59</v>
      </c>
      <c r="P50" s="661" t="s">
        <v>290</v>
      </c>
    </row>
    <row r="51" spans="1:16" x14ac:dyDescent="0.3">
      <c r="A51" s="667"/>
      <c r="B51" s="656"/>
      <c r="C51" s="77">
        <v>12</v>
      </c>
      <c r="D51" s="77">
        <v>12</v>
      </c>
      <c r="E51" s="77">
        <v>12</v>
      </c>
      <c r="F51" s="77">
        <v>12</v>
      </c>
      <c r="G51" s="77">
        <v>12</v>
      </c>
      <c r="H51" s="77">
        <v>12</v>
      </c>
      <c r="I51" s="77">
        <v>12</v>
      </c>
      <c r="K51" s="78">
        <v>12</v>
      </c>
      <c r="L51" s="78">
        <v>12</v>
      </c>
      <c r="M51" s="78">
        <v>12</v>
      </c>
      <c r="N51" s="78">
        <f>SUM(C51:I51)</f>
        <v>84</v>
      </c>
      <c r="P51" s="662"/>
    </row>
    <row r="52" spans="1:16" s="5" customFormat="1" x14ac:dyDescent="0.3">
      <c r="A52" s="21" t="s">
        <v>193</v>
      </c>
      <c r="B52" s="153"/>
      <c r="C52" s="110">
        <f>SUM(C53:C55)</f>
        <v>678567.77338605595</v>
      </c>
      <c r="D52" s="110">
        <f t="shared" ref="D52:I52" si="35">SUM(D53:D55)</f>
        <v>681054.06327538099</v>
      </c>
      <c r="E52" s="110">
        <f t="shared" si="35"/>
        <v>683367.06123856537</v>
      </c>
      <c r="F52" s="110">
        <f t="shared" si="35"/>
        <v>684959.84494843415</v>
      </c>
      <c r="G52" s="110">
        <f t="shared" si="35"/>
        <v>686531.78430335585</v>
      </c>
      <c r="H52" s="110">
        <f t="shared" si="35"/>
        <v>698932.2457314278</v>
      </c>
      <c r="I52" s="110">
        <f t="shared" si="35"/>
        <v>700519.09713532345</v>
      </c>
      <c r="J52" s="28"/>
      <c r="K52" s="178">
        <f t="shared" ref="K52:M52" si="36">SUM(K53:K55)</f>
        <v>679810.91833071853</v>
      </c>
      <c r="L52" s="24">
        <f t="shared" si="36"/>
        <v>690862.00667142135</v>
      </c>
      <c r="M52" s="110">
        <f t="shared" si="36"/>
        <v>687704.55285979202</v>
      </c>
      <c r="N52" s="24">
        <f>SUM(N53:N55)</f>
        <v>4813931.8700185446</v>
      </c>
      <c r="O52" s="28"/>
      <c r="P52" s="188"/>
    </row>
    <row r="53" spans="1:16" x14ac:dyDescent="0.3">
      <c r="A53" s="25" t="s">
        <v>1</v>
      </c>
      <c r="B53" s="12"/>
      <c r="C53" s="252">
        <v>119860.491008</v>
      </c>
      <c r="D53" s="252">
        <v>119860.491008</v>
      </c>
      <c r="E53" s="252">
        <v>119860.491008</v>
      </c>
      <c r="F53" s="252">
        <v>119860.491008</v>
      </c>
      <c r="G53" s="252">
        <v>119860.491008</v>
      </c>
      <c r="H53" s="252">
        <v>119860.491008</v>
      </c>
      <c r="I53" s="252">
        <v>119860.491008</v>
      </c>
      <c r="K53" s="208">
        <f t="shared" ref="K53:K55" si="37">IFERROR(AVERAGE(C53:D53),"")</f>
        <v>119860.491008</v>
      </c>
      <c r="L53" s="14">
        <f t="shared" ref="L53:L55" si="38">IFERROR(AVERAGE(E53:I53),"")</f>
        <v>119860.49100800001</v>
      </c>
      <c r="M53" s="207">
        <f t="shared" ref="M53:M55" si="39">IFERROR(AVERAGE(C53:I53),"")</f>
        <v>119860.491008</v>
      </c>
      <c r="N53" s="14">
        <f>SUM(C53:I53)</f>
        <v>839023.437056</v>
      </c>
      <c r="P53" s="188" t="str">
        <f>'2. CEP offre de base'!K22</f>
        <v>Formule CV Indices G, R et S (1+C)</v>
      </c>
    </row>
    <row r="54" spans="1:16" x14ac:dyDescent="0.3">
      <c r="A54" s="25" t="s">
        <v>163</v>
      </c>
      <c r="B54" s="12"/>
      <c r="C54" s="252">
        <f>C15</f>
        <v>543057.28237805597</v>
      </c>
      <c r="D54" s="252">
        <f t="shared" ref="D54:I54" si="40">D15</f>
        <v>545543.57226738101</v>
      </c>
      <c r="E54" s="252">
        <f t="shared" si="40"/>
        <v>547856.57023056538</v>
      </c>
      <c r="F54" s="252">
        <f t="shared" si="40"/>
        <v>549449.35394043417</v>
      </c>
      <c r="G54" s="252">
        <f t="shared" si="40"/>
        <v>551021.29329535586</v>
      </c>
      <c r="H54" s="252">
        <f t="shared" si="40"/>
        <v>563421.75472342782</v>
      </c>
      <c r="I54" s="252">
        <f t="shared" si="40"/>
        <v>565008.60612732347</v>
      </c>
      <c r="K54" s="208">
        <f t="shared" si="37"/>
        <v>544300.42732271855</v>
      </c>
      <c r="L54" s="14">
        <f t="shared" si="38"/>
        <v>555351.51566342136</v>
      </c>
      <c r="M54" s="207">
        <f t="shared" si="39"/>
        <v>552194.06185179204</v>
      </c>
      <c r="N54" s="14">
        <f t="shared" ref="N54:N55" si="41">SUM(C54:I54)</f>
        <v>3865358.4329625443</v>
      </c>
      <c r="P54" s="189" t="str">
        <f>'2. CEP offre de base'!K23</f>
        <v>Formule CV Indice S (1+C)</v>
      </c>
    </row>
    <row r="55" spans="1:16" x14ac:dyDescent="0.3">
      <c r="A55" s="25" t="s">
        <v>2</v>
      </c>
      <c r="B55" s="12"/>
      <c r="C55" s="252">
        <v>15650</v>
      </c>
      <c r="D55" s="252">
        <v>15650</v>
      </c>
      <c r="E55" s="252">
        <v>15650</v>
      </c>
      <c r="F55" s="252">
        <v>15650</v>
      </c>
      <c r="G55" s="252">
        <v>15650</v>
      </c>
      <c r="H55" s="252">
        <v>15650</v>
      </c>
      <c r="I55" s="252">
        <v>15650</v>
      </c>
      <c r="K55" s="208">
        <f t="shared" si="37"/>
        <v>15650</v>
      </c>
      <c r="L55" s="14">
        <f t="shared" si="38"/>
        <v>15650</v>
      </c>
      <c r="M55" s="207">
        <f t="shared" si="39"/>
        <v>15650</v>
      </c>
      <c r="N55" s="14">
        <f t="shared" si="41"/>
        <v>109550</v>
      </c>
      <c r="P55" s="189" t="str">
        <f>'2. CEP offre de base'!K24</f>
        <v>Formule CV Indice R</v>
      </c>
    </row>
    <row r="56" spans="1:16" s="5" customFormat="1" x14ac:dyDescent="0.3">
      <c r="A56" s="21" t="s">
        <v>195</v>
      </c>
      <c r="B56" s="153"/>
      <c r="C56" s="23">
        <f>SUM(C57:C64)</f>
        <v>229102.38213286991</v>
      </c>
      <c r="D56" s="23">
        <f t="shared" ref="D56:H56" si="42">SUM(D57:D64)</f>
        <v>219444.84976722742</v>
      </c>
      <c r="E56" s="23">
        <f t="shared" si="42"/>
        <v>221499.89533928162</v>
      </c>
      <c r="F56" s="23">
        <f t="shared" si="42"/>
        <v>231687.48465355125</v>
      </c>
      <c r="G56" s="23">
        <f t="shared" si="42"/>
        <v>231874.82056784979</v>
      </c>
      <c r="H56" s="23">
        <f t="shared" si="42"/>
        <v>237694.41800009855</v>
      </c>
      <c r="I56" s="23">
        <f>SUM(I57:I64)</f>
        <v>235286.64520602266</v>
      </c>
      <c r="J56" s="28"/>
      <c r="K56" s="178">
        <f t="shared" ref="K56:M56" si="43">SUM(K57:K64)</f>
        <v>224273.61595004873</v>
      </c>
      <c r="L56" s="24">
        <f t="shared" si="43"/>
        <v>231608.6527533608</v>
      </c>
      <c r="M56" s="23">
        <f t="shared" si="43"/>
        <v>229512.92795241449</v>
      </c>
      <c r="N56" s="24">
        <f>SUM(N57:N64)</f>
        <v>1606590.4956669013</v>
      </c>
      <c r="O56" s="28"/>
      <c r="P56" s="190"/>
    </row>
    <row r="57" spans="1:16" x14ac:dyDescent="0.3">
      <c r="A57" s="25" t="s">
        <v>3</v>
      </c>
      <c r="B57" s="12"/>
      <c r="C57" s="252">
        <v>10218.71725229504</v>
      </c>
      <c r="D57" s="252">
        <v>10137.966494409398</v>
      </c>
      <c r="E57" s="252">
        <v>10187.033446954036</v>
      </c>
      <c r="F57" s="252">
        <v>10319.48984162106</v>
      </c>
      <c r="G57" s="252">
        <v>10339.209614563799</v>
      </c>
      <c r="H57" s="252">
        <v>10544.113923644778</v>
      </c>
      <c r="I57" s="252">
        <v>10534.807918438601</v>
      </c>
      <c r="K57" s="208">
        <f t="shared" ref="K57:K64" si="44">IFERROR(AVERAGE(C57:D57),"")</f>
        <v>10178.341873352219</v>
      </c>
      <c r="L57" s="14">
        <f t="shared" ref="L57:L64" si="45">IFERROR(AVERAGE(E57:I57),"")</f>
        <v>10384.930949044454</v>
      </c>
      <c r="M57" s="207">
        <f t="shared" ref="M57:M64" si="46">IFERROR(AVERAGE(C57:I57),"")</f>
        <v>10325.905498846672</v>
      </c>
      <c r="N57" s="14">
        <f t="shared" ref="N57:N63" si="47">SUM(C57:I57)</f>
        <v>72281.338491926712</v>
      </c>
      <c r="P57" s="189" t="str">
        <f>'2. CEP offre de base'!K26</f>
        <v>Formule Cf Indice FG</v>
      </c>
    </row>
    <row r="58" spans="1:16" x14ac:dyDescent="0.3">
      <c r="A58" s="25" t="s">
        <v>162</v>
      </c>
      <c r="B58" s="12"/>
      <c r="C58" s="252">
        <f>C21</f>
        <v>145279.5016223944</v>
      </c>
      <c r="D58" s="252">
        <f t="shared" ref="D58:I58" si="48">D21</f>
        <v>146330.55950670154</v>
      </c>
      <c r="E58" s="252">
        <f t="shared" si="48"/>
        <v>147231.0593300513</v>
      </c>
      <c r="F58" s="252">
        <f t="shared" si="48"/>
        <v>148462.36813893905</v>
      </c>
      <c r="G58" s="252">
        <f t="shared" si="48"/>
        <v>149302.83437629818</v>
      </c>
      <c r="H58" s="252">
        <f t="shared" si="48"/>
        <v>151229.88878271455</v>
      </c>
      <c r="I58" s="252">
        <f t="shared" si="48"/>
        <v>152488.8330695339</v>
      </c>
      <c r="K58" s="208">
        <f t="shared" si="44"/>
        <v>145805.03056454798</v>
      </c>
      <c r="L58" s="14">
        <f t="shared" si="45"/>
        <v>149742.99673950739</v>
      </c>
      <c r="M58" s="207">
        <f t="shared" si="46"/>
        <v>148617.86354666186</v>
      </c>
      <c r="N58" s="14">
        <f t="shared" si="47"/>
        <v>1040325.0448266329</v>
      </c>
      <c r="P58" s="189" t="str">
        <f>'2. CEP offre de base'!K28</f>
        <v>Formule Cf Indice S (1+C)</v>
      </c>
    </row>
    <row r="59" spans="1:16" x14ac:dyDescent="0.3">
      <c r="A59" s="25" t="s">
        <v>4</v>
      </c>
      <c r="B59" s="12"/>
      <c r="C59" s="252">
        <v>18153.403110378516</v>
      </c>
      <c r="D59" s="252">
        <v>18009.978260852167</v>
      </c>
      <c r="E59" s="252">
        <v>18097.339131556942</v>
      </c>
      <c r="F59" s="252">
        <v>18332.946592039709</v>
      </c>
      <c r="G59" s="252">
        <v>18368.132097424113</v>
      </c>
      <c r="H59" s="252">
        <v>18732.533274630528</v>
      </c>
      <c r="I59" s="252">
        <v>18716.114846826924</v>
      </c>
      <c r="K59" s="208">
        <f t="shared" si="44"/>
        <v>18081.690685615344</v>
      </c>
      <c r="L59" s="14">
        <f t="shared" si="45"/>
        <v>18449.41318849564</v>
      </c>
      <c r="M59" s="207">
        <f t="shared" si="46"/>
        <v>18344.34961624413</v>
      </c>
      <c r="N59" s="14">
        <f t="shared" si="47"/>
        <v>128410.44731370891</v>
      </c>
      <c r="P59" s="189" t="str">
        <f>'2. CEP offre de base'!K29</f>
        <v>Formule Cf Indice S (1+C)</v>
      </c>
    </row>
    <row r="60" spans="1:16" x14ac:dyDescent="0.3">
      <c r="A60" s="25" t="s">
        <v>5</v>
      </c>
      <c r="B60" s="12"/>
      <c r="C60" s="252">
        <v>13955.369830487494</v>
      </c>
      <c r="D60" s="252">
        <v>12727.69197929553</v>
      </c>
      <c r="E60" s="252">
        <v>13589.430102310944</v>
      </c>
      <c r="F60" s="252">
        <v>14938.399031550443</v>
      </c>
      <c r="G60" s="252">
        <v>14167.379827362287</v>
      </c>
      <c r="H60" s="252">
        <v>16838.323226055927</v>
      </c>
      <c r="I60" s="252">
        <v>13226.720286349842</v>
      </c>
      <c r="K60" s="208">
        <f t="shared" si="44"/>
        <v>13341.530904891511</v>
      </c>
      <c r="L60" s="14">
        <f t="shared" si="45"/>
        <v>14552.050494725889</v>
      </c>
      <c r="M60" s="207">
        <f t="shared" si="46"/>
        <v>14206.187754773209</v>
      </c>
      <c r="N60" s="14">
        <f t="shared" si="47"/>
        <v>99443.314283412459</v>
      </c>
      <c r="P60" s="189" t="str">
        <f>'2. CEP offre de base'!K30</f>
        <v>Formule Cf Indice FG</v>
      </c>
    </row>
    <row r="61" spans="1:16" x14ac:dyDescent="0.3">
      <c r="A61" s="25" t="s">
        <v>172</v>
      </c>
      <c r="B61" s="12"/>
      <c r="C61" s="13"/>
      <c r="D61" s="13"/>
      <c r="E61" s="13"/>
      <c r="F61" s="13"/>
      <c r="G61" s="13"/>
      <c r="H61" s="13"/>
      <c r="I61" s="13"/>
      <c r="K61" s="208" t="str">
        <f t="shared" si="44"/>
        <v/>
      </c>
      <c r="L61" s="14" t="str">
        <f t="shared" si="45"/>
        <v/>
      </c>
      <c r="M61" s="207" t="str">
        <f t="shared" si="46"/>
        <v/>
      </c>
      <c r="N61" s="14">
        <f t="shared" si="47"/>
        <v>0</v>
      </c>
      <c r="P61" s="189"/>
    </row>
    <row r="62" spans="1:16" ht="12.25" customHeight="1" x14ac:dyDescent="0.3">
      <c r="A62" s="25" t="s">
        <v>178</v>
      </c>
      <c r="B62" s="12"/>
      <c r="C62" s="13"/>
      <c r="D62" s="13"/>
      <c r="E62" s="13"/>
      <c r="F62" s="13"/>
      <c r="G62" s="13"/>
      <c r="H62" s="13"/>
      <c r="I62" s="13"/>
      <c r="K62" s="208" t="str">
        <f t="shared" si="44"/>
        <v/>
      </c>
      <c r="L62" s="14" t="str">
        <f t="shared" si="45"/>
        <v/>
      </c>
      <c r="M62" s="207" t="str">
        <f t="shared" si="46"/>
        <v/>
      </c>
      <c r="N62" s="14">
        <f t="shared" si="47"/>
        <v>0</v>
      </c>
      <c r="P62" s="189"/>
    </row>
    <row r="63" spans="1:16" x14ac:dyDescent="0.3">
      <c r="A63" s="25" t="s">
        <v>6</v>
      </c>
      <c r="B63" s="12"/>
      <c r="C63" s="252">
        <v>24703.492440214271</v>
      </c>
      <c r="D63" s="252">
        <v>15579.423634680603</v>
      </c>
      <c r="E63" s="252">
        <v>15654.994631718542</v>
      </c>
      <c r="F63" s="252">
        <v>22676.305451764398</v>
      </c>
      <c r="G63" s="252">
        <v>22706.742462084148</v>
      </c>
      <c r="H63" s="252">
        <v>23021.965514019488</v>
      </c>
      <c r="I63" s="252">
        <v>23007.762851558553</v>
      </c>
      <c r="K63" s="208">
        <f t="shared" si="44"/>
        <v>20141.458037447439</v>
      </c>
      <c r="L63" s="14">
        <f t="shared" si="45"/>
        <v>21413.554182229025</v>
      </c>
      <c r="M63" s="207">
        <f t="shared" si="46"/>
        <v>21050.098140862861</v>
      </c>
      <c r="N63" s="14">
        <f t="shared" si="47"/>
        <v>147350.68698604003</v>
      </c>
      <c r="P63" s="189" t="str">
        <f>'2. CEP offre de base'!K33</f>
        <v>Formule Cf Indice ING</v>
      </c>
    </row>
    <row r="64" spans="1:16" s="5" customFormat="1" x14ac:dyDescent="0.3">
      <c r="A64" s="25" t="s">
        <v>192</v>
      </c>
      <c r="B64" s="12"/>
      <c r="C64" s="252">
        <v>16791.897877100215</v>
      </c>
      <c r="D64" s="252">
        <v>16659.229891288185</v>
      </c>
      <c r="E64" s="252">
        <v>16740.038696689855</v>
      </c>
      <c r="F64" s="252">
        <v>16957.975597636581</v>
      </c>
      <c r="G64" s="252">
        <v>16990.522190117266</v>
      </c>
      <c r="H64" s="252">
        <v>17327.59327903331</v>
      </c>
      <c r="I64" s="252">
        <v>17312.406233314839</v>
      </c>
      <c r="J64" s="28"/>
      <c r="K64" s="208">
        <f t="shared" si="44"/>
        <v>16725.563884194198</v>
      </c>
      <c r="L64" s="14">
        <f t="shared" si="45"/>
        <v>17065.70719935837</v>
      </c>
      <c r="M64" s="207">
        <f t="shared" si="46"/>
        <v>16968.52339502575</v>
      </c>
      <c r="N64" s="14">
        <f>SUM(C64:I64)</f>
        <v>118779.66376518024</v>
      </c>
      <c r="O64" s="28"/>
      <c r="P64" s="189"/>
    </row>
    <row r="65" spans="1:16" x14ac:dyDescent="0.3">
      <c r="A65" s="21" t="s">
        <v>196</v>
      </c>
      <c r="B65" s="153"/>
      <c r="C65" s="23"/>
      <c r="D65" s="23"/>
      <c r="E65" s="23"/>
      <c r="F65" s="23"/>
      <c r="G65" s="23"/>
      <c r="H65" s="23"/>
      <c r="I65" s="23"/>
      <c r="K65" s="178"/>
      <c r="L65" s="24"/>
      <c r="M65" s="23"/>
      <c r="N65" s="24"/>
      <c r="P65" s="190"/>
    </row>
    <row r="66" spans="1:16" x14ac:dyDescent="0.3">
      <c r="A66" s="18" t="s">
        <v>204</v>
      </c>
      <c r="B66" s="68"/>
      <c r="C66" s="19">
        <f>C52+C56+C65</f>
        <v>907670.15551892587</v>
      </c>
      <c r="D66" s="19">
        <f t="shared" ref="D66:I66" si="49">D52+D56+D65</f>
        <v>900498.91304260842</v>
      </c>
      <c r="E66" s="19">
        <f t="shared" si="49"/>
        <v>904866.95657784701</v>
      </c>
      <c r="F66" s="19">
        <f t="shared" si="49"/>
        <v>916647.3296019854</v>
      </c>
      <c r="G66" s="19">
        <f t="shared" si="49"/>
        <v>918406.60487120564</v>
      </c>
      <c r="H66" s="19">
        <f t="shared" si="49"/>
        <v>936626.66373152635</v>
      </c>
      <c r="I66" s="19">
        <f t="shared" si="49"/>
        <v>935805.74234134611</v>
      </c>
      <c r="J66" s="228"/>
      <c r="K66" s="35">
        <f t="shared" ref="K66:N66" si="50">K52+K56+K65</f>
        <v>904084.5342807672</v>
      </c>
      <c r="L66" s="35">
        <f t="shared" si="50"/>
        <v>922470.65942478215</v>
      </c>
      <c r="M66" s="35">
        <f t="shared" si="50"/>
        <v>917217.48081220652</v>
      </c>
      <c r="N66" s="35">
        <f t="shared" si="50"/>
        <v>6420522.3656854462</v>
      </c>
      <c r="O66" s="228"/>
      <c r="P66" s="204"/>
    </row>
    <row r="67" spans="1:16" x14ac:dyDescent="0.3">
      <c r="B67" s="2"/>
      <c r="C67" s="2"/>
      <c r="D67" s="2"/>
      <c r="E67" s="2"/>
      <c r="F67" s="2"/>
      <c r="G67" s="2"/>
      <c r="H67" s="2"/>
      <c r="I67" s="2"/>
      <c r="J67" s="2"/>
      <c r="K67" s="2"/>
      <c r="L67" s="2"/>
      <c r="M67" s="2"/>
      <c r="N67" s="2"/>
      <c r="O67" s="2"/>
      <c r="P67" s="2"/>
    </row>
    <row r="68" spans="1:16" x14ac:dyDescent="0.3">
      <c r="A68" s="111" t="s">
        <v>198</v>
      </c>
      <c r="B68" s="112"/>
      <c r="C68" s="238">
        <f>C64/C66</f>
        <v>1.8500000000000096E-2</v>
      </c>
      <c r="D68" s="238">
        <f t="shared" ref="D68:I68" si="51">D64/D66</f>
        <v>1.8499999999999923E-2</v>
      </c>
      <c r="E68" s="238">
        <f t="shared" si="51"/>
        <v>1.8499999999999652E-2</v>
      </c>
      <c r="F68" s="238">
        <f t="shared" si="51"/>
        <v>1.8499999999999839E-2</v>
      </c>
      <c r="G68" s="238">
        <f t="shared" si="51"/>
        <v>1.8499999999999957E-2</v>
      </c>
      <c r="H68" s="238">
        <f t="shared" si="51"/>
        <v>1.8500000000000079E-2</v>
      </c>
      <c r="I68" s="239">
        <f t="shared" si="51"/>
        <v>1.8499999999999933E-2</v>
      </c>
      <c r="K68" s="241">
        <f t="shared" ref="K68:N68" si="52">K64/K66</f>
        <v>1.8500000000000006E-2</v>
      </c>
      <c r="L68" s="239">
        <f t="shared" si="52"/>
        <v>1.8499999999999892E-2</v>
      </c>
      <c r="M68" s="239">
        <f t="shared" si="52"/>
        <v>1.8499999999999923E-2</v>
      </c>
      <c r="N68" s="241">
        <f t="shared" si="52"/>
        <v>1.8499999999999919E-2</v>
      </c>
    </row>
    <row r="70" spans="1:16" x14ac:dyDescent="0.3">
      <c r="B70" s="17" t="s">
        <v>314</v>
      </c>
      <c r="C70" s="28">
        <f>+C54/50213</f>
        <v>10.815073434729173</v>
      </c>
      <c r="D70" s="28">
        <f t="shared" ref="D70:I70" si="53">+D54/50213</f>
        <v>10.864588299193057</v>
      </c>
      <c r="E70" s="28">
        <f t="shared" si="53"/>
        <v>10.910652026976388</v>
      </c>
      <c r="F70" s="28">
        <f t="shared" si="53"/>
        <v>10.94237257165344</v>
      </c>
      <c r="G70" s="28">
        <f t="shared" si="53"/>
        <v>10.973677997637182</v>
      </c>
      <c r="H70" s="28">
        <f t="shared" si="53"/>
        <v>11.220635188565268</v>
      </c>
      <c r="I70" s="28">
        <f t="shared" si="53"/>
        <v>11.252237590411317</v>
      </c>
    </row>
    <row r="71" spans="1:16" x14ac:dyDescent="0.3">
      <c r="C71" s="236"/>
      <c r="D71" s="236"/>
      <c r="E71" s="236"/>
      <c r="F71" s="236"/>
      <c r="G71" s="236"/>
      <c r="H71" s="236"/>
      <c r="I71" s="236"/>
    </row>
  </sheetData>
  <mergeCells count="11">
    <mergeCell ref="P5:P6"/>
    <mergeCell ref="P13:P14"/>
    <mergeCell ref="P43:P44"/>
    <mergeCell ref="P50:P51"/>
    <mergeCell ref="A50:A51"/>
    <mergeCell ref="B50:B51"/>
    <mergeCell ref="A1:N1"/>
    <mergeCell ref="A5:A6"/>
    <mergeCell ref="A13:A14"/>
    <mergeCell ref="A43:A44"/>
    <mergeCell ref="B43:B44"/>
  </mergeCells>
  <printOptions horizontalCentered="1"/>
  <pageMargins left="0.70866141732283472" right="0.70866141732283472" top="0.74803149606299213" bottom="0.74803149606299213" header="0.31496062992125984" footer="0.31496062992125984"/>
  <pageSetup paperSize="9" scale="48" orientation="landscape" r:id="rId1"/>
  <headerFooter>
    <oddHeader>&amp;L&amp;F&amp;R&amp;A</oddHeader>
    <oddFooter>&amp;L&amp;D&amp;C&amp;P/&amp;N&amp;R&amp;T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sheetPr>
  <dimension ref="A1:N211"/>
  <sheetViews>
    <sheetView showGridLines="0" view="pageBreakPreview" zoomScale="85" zoomScaleNormal="95" zoomScaleSheetLayoutView="85" workbookViewId="0">
      <selection sqref="A1:I1"/>
    </sheetView>
  </sheetViews>
  <sheetFormatPr baseColWidth="10" defaultColWidth="11.26953125" defaultRowHeight="13" x14ac:dyDescent="0.3"/>
  <cols>
    <col min="1" max="1" width="37.26953125" style="2" customWidth="1"/>
    <col min="2" max="2" width="10.26953125" style="2" customWidth="1"/>
    <col min="3" max="3" width="10.453125" style="11" customWidth="1"/>
    <col min="4" max="8" width="10.26953125" style="11" customWidth="1"/>
    <col min="9" max="9" width="10.81640625" style="11" bestFit="1" customWidth="1"/>
    <col min="10" max="10" width="6.7265625" style="11" customWidth="1"/>
    <col min="11" max="11" width="20.81640625" style="11" bestFit="1" customWidth="1"/>
    <col min="12" max="12" width="6.7265625" style="11" customWidth="1"/>
    <col min="13" max="22" width="11.26953125" style="2"/>
    <col min="23" max="23" width="11.26953125" style="2" customWidth="1"/>
    <col min="24" max="16384" width="11.26953125" style="2"/>
  </cols>
  <sheetData>
    <row r="1" spans="1:14" ht="30" customHeight="1" x14ac:dyDescent="0.3">
      <c r="A1" s="658" t="s">
        <v>346</v>
      </c>
      <c r="B1" s="664"/>
      <c r="C1" s="664"/>
      <c r="D1" s="664"/>
      <c r="E1" s="664"/>
      <c r="F1" s="664"/>
      <c r="G1" s="664"/>
      <c r="H1" s="664"/>
      <c r="I1" s="665"/>
      <c r="J1" s="213"/>
      <c r="K1" s="194" t="s">
        <v>289</v>
      </c>
      <c r="L1" s="213"/>
      <c r="M1" s="11"/>
      <c r="N1" s="11"/>
    </row>
    <row r="2" spans="1:14" x14ac:dyDescent="0.3">
      <c r="C2" s="2"/>
      <c r="D2" s="2"/>
      <c r="E2" s="2"/>
      <c r="F2" s="2"/>
      <c r="G2" s="2"/>
      <c r="H2" s="2"/>
      <c r="I2" s="2"/>
      <c r="J2" s="2"/>
      <c r="K2" s="2"/>
      <c r="L2" s="2"/>
    </row>
    <row r="3" spans="1:14" x14ac:dyDescent="0.3">
      <c r="A3" s="21" t="s">
        <v>72</v>
      </c>
      <c r="B3" s="154"/>
      <c r="C3" s="155"/>
      <c r="D3" s="155"/>
      <c r="E3" s="155"/>
      <c r="F3" s="155"/>
      <c r="G3" s="155"/>
      <c r="H3" s="155"/>
      <c r="I3" s="155"/>
      <c r="J3" s="155"/>
      <c r="K3" s="156"/>
    </row>
    <row r="4" spans="1:14" x14ac:dyDescent="0.3">
      <c r="F4" s="2"/>
      <c r="G4" s="2"/>
      <c r="H4" s="2"/>
      <c r="I4" s="2"/>
      <c r="J4" s="2"/>
      <c r="K4" s="2"/>
      <c r="L4" s="2"/>
    </row>
    <row r="5" spans="1:14" x14ac:dyDescent="0.3">
      <c r="A5" s="42" t="s">
        <v>69</v>
      </c>
      <c r="B5" s="43"/>
      <c r="C5" s="44"/>
      <c r="D5" s="44"/>
      <c r="E5" s="44"/>
      <c r="F5" s="44"/>
      <c r="G5" s="44"/>
      <c r="H5" s="44"/>
      <c r="I5" s="44"/>
      <c r="J5" s="44"/>
      <c r="K5" s="44"/>
    </row>
    <row r="6" spans="1:14" x14ac:dyDescent="0.3">
      <c r="F6" s="2"/>
      <c r="G6" s="2"/>
      <c r="H6" s="2"/>
      <c r="I6" s="2"/>
      <c r="J6" s="2"/>
      <c r="K6" s="2"/>
      <c r="L6" s="2"/>
    </row>
    <row r="7" spans="1:14" ht="27.65" customHeight="1" x14ac:dyDescent="0.3">
      <c r="A7" s="666" t="s">
        <v>353</v>
      </c>
      <c r="B7" s="655"/>
      <c r="C7" s="3" t="str">
        <f>Annee0</f>
        <v>Année 0</v>
      </c>
      <c r="D7" s="3" t="str">
        <f>Annee1</f>
        <v>Année 1</v>
      </c>
      <c r="E7" s="3" t="str">
        <f>Annee2</f>
        <v>Année 2</v>
      </c>
      <c r="F7" s="516" t="str">
        <f>Annee3</f>
        <v>Année 3</v>
      </c>
      <c r="G7" s="541" t="str">
        <f>Annee4</f>
        <v>Année 4</v>
      </c>
      <c r="H7" s="181" t="s">
        <v>256</v>
      </c>
      <c r="I7" s="4" t="s">
        <v>59</v>
      </c>
      <c r="K7" s="661" t="s">
        <v>290</v>
      </c>
    </row>
    <row r="8" spans="1:14" x14ac:dyDescent="0.3">
      <c r="A8" s="667"/>
      <c r="B8" s="656"/>
      <c r="C8" s="77">
        <v>12</v>
      </c>
      <c r="D8" s="77">
        <v>12</v>
      </c>
      <c r="E8" s="77">
        <v>12</v>
      </c>
      <c r="F8" s="77">
        <v>12</v>
      </c>
      <c r="G8" s="183">
        <v>12</v>
      </c>
      <c r="H8" s="78">
        <f t="shared" ref="H8:H36" si="0">IFERROR(AVERAGE(C8:G8),0)</f>
        <v>12</v>
      </c>
      <c r="I8" s="78">
        <f t="shared" ref="I8:I36" si="1">SUM(C8:G8)</f>
        <v>60</v>
      </c>
      <c r="J8" s="2"/>
      <c r="K8" s="674"/>
      <c r="L8" s="2"/>
    </row>
    <row r="9" spans="1:14" x14ac:dyDescent="0.3">
      <c r="A9" s="115" t="s">
        <v>283</v>
      </c>
      <c r="B9" s="53"/>
      <c r="C9" s="474"/>
      <c r="D9" s="223">
        <f t="shared" ref="D9:G9" si="2">D10+D15+D16+D17</f>
        <v>7495136.6459738296</v>
      </c>
      <c r="E9" s="223">
        <f t="shared" si="2"/>
        <v>7495136.6459738296</v>
      </c>
      <c r="F9" s="223">
        <f t="shared" ref="F9" si="3">F10+F15+F16+F17</f>
        <v>7495136.6459738296</v>
      </c>
      <c r="G9" s="224">
        <f t="shared" si="2"/>
        <v>7495136.6459738296</v>
      </c>
      <c r="H9" s="300">
        <f t="shared" si="0"/>
        <v>7495136.6459738296</v>
      </c>
      <c r="I9" s="300">
        <f t="shared" si="1"/>
        <v>29980546.583895318</v>
      </c>
      <c r="J9" s="2"/>
      <c r="K9" s="197"/>
      <c r="L9" s="2"/>
    </row>
    <row r="10" spans="1:14" x14ac:dyDescent="0.3">
      <c r="A10" s="116" t="s">
        <v>347</v>
      </c>
      <c r="B10" s="310"/>
      <c r="C10" s="499"/>
      <c r="D10" s="297">
        <f>SUM(D11:D14)</f>
        <v>7348725.0959738297</v>
      </c>
      <c r="E10" s="297">
        <f t="shared" ref="E10:G10" si="4">SUM(E11:E14)</f>
        <v>7348725.0959738297</v>
      </c>
      <c r="F10" s="297">
        <f t="shared" ref="F10" si="5">SUM(F11:F14)</f>
        <v>7348725.0959738297</v>
      </c>
      <c r="G10" s="296">
        <f t="shared" si="4"/>
        <v>7348725.0959738297</v>
      </c>
      <c r="H10" s="62">
        <f t="shared" si="0"/>
        <v>7348725.0959738297</v>
      </c>
      <c r="I10" s="62">
        <f t="shared" si="1"/>
        <v>29394900.383895319</v>
      </c>
      <c r="J10" s="2"/>
      <c r="K10" s="189"/>
      <c r="L10" s="2"/>
    </row>
    <row r="11" spans="1:14" x14ac:dyDescent="0.3">
      <c r="A11" s="36" t="s">
        <v>348</v>
      </c>
      <c r="B11" s="37"/>
      <c r="C11" s="497"/>
      <c r="D11" s="320">
        <v>5067317.7789738309</v>
      </c>
      <c r="E11" s="320">
        <v>5067317.7789738309</v>
      </c>
      <c r="F11" s="553">
        <v>5067317.7789738309</v>
      </c>
      <c r="G11" s="321">
        <v>5067317.7789738309</v>
      </c>
      <c r="H11" s="10">
        <f t="shared" si="0"/>
        <v>5067317.7789738309</v>
      </c>
      <c r="I11" s="39">
        <f t="shared" si="1"/>
        <v>20269271.115895323</v>
      </c>
      <c r="J11" s="2"/>
      <c r="K11" s="188"/>
      <c r="L11" s="2"/>
    </row>
    <row r="12" spans="1:14" ht="13.15" customHeight="1" x14ac:dyDescent="0.3">
      <c r="A12" s="36" t="s">
        <v>349</v>
      </c>
      <c r="B12" s="37"/>
      <c r="C12" s="497"/>
      <c r="D12" s="319">
        <v>2091439.4139999996</v>
      </c>
      <c r="E12" s="319">
        <v>2091439.4139999996</v>
      </c>
      <c r="F12" s="553">
        <v>2091439.4139999996</v>
      </c>
      <c r="G12" s="321">
        <v>2091439.4139999996</v>
      </c>
      <c r="H12" s="39">
        <f t="shared" si="0"/>
        <v>2091439.4139999996</v>
      </c>
      <c r="I12" s="39">
        <f t="shared" si="1"/>
        <v>8365757.6559999986</v>
      </c>
      <c r="J12" s="2"/>
      <c r="K12" s="189"/>
      <c r="L12" s="2"/>
    </row>
    <row r="13" spans="1:14" x14ac:dyDescent="0.3">
      <c r="A13" s="36" t="s">
        <v>350</v>
      </c>
      <c r="B13" s="37"/>
      <c r="C13" s="497"/>
      <c r="D13" s="319">
        <v>189967.90299999918</v>
      </c>
      <c r="E13" s="319">
        <v>189967.90299999918</v>
      </c>
      <c r="F13" s="553">
        <v>189967.90299999918</v>
      </c>
      <c r="G13" s="321">
        <v>189967.90299999918</v>
      </c>
      <c r="H13" s="39">
        <f t="shared" si="0"/>
        <v>189967.90299999918</v>
      </c>
      <c r="I13" s="39">
        <f t="shared" si="1"/>
        <v>759871.6119999967</v>
      </c>
      <c r="J13" s="2"/>
      <c r="K13" s="189"/>
      <c r="L13" s="2"/>
    </row>
    <row r="14" spans="1:14" x14ac:dyDescent="0.3">
      <c r="A14" s="36" t="s">
        <v>446</v>
      </c>
      <c r="B14" s="37"/>
      <c r="C14" s="497"/>
      <c r="D14" s="319">
        <v>0</v>
      </c>
      <c r="E14" s="319">
        <v>0</v>
      </c>
      <c r="F14" s="553">
        <v>0</v>
      </c>
      <c r="G14" s="321">
        <v>0</v>
      </c>
      <c r="H14" s="39">
        <f t="shared" si="0"/>
        <v>0</v>
      </c>
      <c r="I14" s="39">
        <f t="shared" si="1"/>
        <v>0</v>
      </c>
      <c r="J14" s="2"/>
      <c r="K14" s="189"/>
      <c r="L14" s="2"/>
    </row>
    <row r="15" spans="1:14" x14ac:dyDescent="0.3">
      <c r="A15" s="116" t="s">
        <v>316</v>
      </c>
      <c r="B15" s="310"/>
      <c r="C15" s="500"/>
      <c r="D15" s="343">
        <v>0</v>
      </c>
      <c r="E15" s="343">
        <v>0</v>
      </c>
      <c r="F15" s="343">
        <v>0</v>
      </c>
      <c r="G15" s="344">
        <v>0</v>
      </c>
      <c r="H15" s="62">
        <f t="shared" si="0"/>
        <v>0</v>
      </c>
      <c r="I15" s="62">
        <f t="shared" si="1"/>
        <v>0</v>
      </c>
      <c r="J15" s="2"/>
      <c r="K15" s="197"/>
      <c r="L15" s="2"/>
    </row>
    <row r="16" spans="1:14" x14ac:dyDescent="0.3">
      <c r="A16" s="116" t="s">
        <v>448</v>
      </c>
      <c r="B16" s="310"/>
      <c r="C16" s="500"/>
      <c r="D16" s="343">
        <v>0</v>
      </c>
      <c r="E16" s="343">
        <v>0</v>
      </c>
      <c r="F16" s="343">
        <v>0</v>
      </c>
      <c r="G16" s="344">
        <v>0</v>
      </c>
      <c r="H16" s="62">
        <f t="shared" si="0"/>
        <v>0</v>
      </c>
      <c r="I16" s="62">
        <f t="shared" si="1"/>
        <v>0</v>
      </c>
      <c r="J16" s="2"/>
      <c r="K16" s="197"/>
      <c r="L16" s="2"/>
    </row>
    <row r="17" spans="1:12" x14ac:dyDescent="0.3">
      <c r="A17" s="116" t="s">
        <v>351</v>
      </c>
      <c r="B17" s="310"/>
      <c r="C17" s="500"/>
      <c r="D17" s="343">
        <v>146411.55000000002</v>
      </c>
      <c r="E17" s="343">
        <v>146411.55000000002</v>
      </c>
      <c r="F17" s="343">
        <v>146411.55000000002</v>
      </c>
      <c r="G17" s="344">
        <v>146411.55000000002</v>
      </c>
      <c r="H17" s="62">
        <f t="shared" si="0"/>
        <v>146411.55000000002</v>
      </c>
      <c r="I17" s="62">
        <f t="shared" si="1"/>
        <v>585646.20000000007</v>
      </c>
      <c r="J17" s="2"/>
      <c r="K17" s="197"/>
      <c r="L17" s="2"/>
    </row>
    <row r="18" spans="1:12" x14ac:dyDescent="0.3">
      <c r="A18" s="115" t="s">
        <v>334</v>
      </c>
      <c r="B18" s="53"/>
      <c r="C18" s="474"/>
      <c r="D18" s="223">
        <f t="shared" ref="D18" si="6">D19+D24+D25+D26</f>
        <v>1477919.3184652044</v>
      </c>
      <c r="E18" s="223">
        <f t="shared" ref="E18" si="7">E19+E24+E25+E26</f>
        <v>1477919.3184652044</v>
      </c>
      <c r="F18" s="223">
        <f t="shared" ref="F18:G18" si="8">F19+F24+F25+F26</f>
        <v>1477919.3184652044</v>
      </c>
      <c r="G18" s="224">
        <f t="shared" si="8"/>
        <v>1477919.3184652044</v>
      </c>
      <c r="H18" s="300">
        <f t="shared" si="0"/>
        <v>1477919.3184652044</v>
      </c>
      <c r="I18" s="300">
        <f t="shared" si="1"/>
        <v>5911677.2738608178</v>
      </c>
      <c r="J18" s="2"/>
      <c r="K18" s="197"/>
      <c r="L18" s="2"/>
    </row>
    <row r="19" spans="1:12" x14ac:dyDescent="0.3">
      <c r="A19" s="116" t="s">
        <v>347</v>
      </c>
      <c r="B19" s="310"/>
      <c r="C19" s="499"/>
      <c r="D19" s="297">
        <f t="shared" ref="D19:G19" si="9">SUM(D20:D23)</f>
        <v>1303655.9184652043</v>
      </c>
      <c r="E19" s="297">
        <f t="shared" si="9"/>
        <v>1303655.9184652043</v>
      </c>
      <c r="F19" s="297">
        <f t="shared" ref="F19" si="10">SUM(F20:F23)</f>
        <v>1303655.9184652043</v>
      </c>
      <c r="G19" s="296">
        <f t="shared" si="9"/>
        <v>1303655.9184652043</v>
      </c>
      <c r="H19" s="62">
        <f t="shared" si="0"/>
        <v>1303655.9184652043</v>
      </c>
      <c r="I19" s="62">
        <f t="shared" si="1"/>
        <v>5214623.6738608172</v>
      </c>
      <c r="J19" s="2"/>
      <c r="K19" s="189"/>
      <c r="L19" s="2"/>
    </row>
    <row r="20" spans="1:12" x14ac:dyDescent="0.3">
      <c r="A20" s="36" t="s">
        <v>348</v>
      </c>
      <c r="B20" s="37"/>
      <c r="C20" s="497"/>
      <c r="D20" s="320">
        <v>811372.31046520406</v>
      </c>
      <c r="E20" s="320">
        <v>811372.31046520406</v>
      </c>
      <c r="F20" s="553">
        <v>811372.31046520406</v>
      </c>
      <c r="G20" s="321">
        <v>811372.31046520406</v>
      </c>
      <c r="H20" s="10">
        <f t="shared" si="0"/>
        <v>811372.31046520406</v>
      </c>
      <c r="I20" s="39">
        <f t="shared" si="1"/>
        <v>3245489.2418608163</v>
      </c>
      <c r="J20" s="2"/>
      <c r="K20" s="188"/>
      <c r="L20" s="2"/>
    </row>
    <row r="21" spans="1:12" ht="13.15" customHeight="1" x14ac:dyDescent="0.3">
      <c r="A21" s="36" t="s">
        <v>349</v>
      </c>
      <c r="B21" s="37"/>
      <c r="C21" s="497"/>
      <c r="D21" s="319">
        <v>444358.5610000001</v>
      </c>
      <c r="E21" s="319">
        <v>444358.5610000001</v>
      </c>
      <c r="F21" s="553">
        <v>444358.5610000001</v>
      </c>
      <c r="G21" s="321">
        <v>444358.5610000001</v>
      </c>
      <c r="H21" s="39">
        <f t="shared" si="0"/>
        <v>444358.5610000001</v>
      </c>
      <c r="I21" s="39">
        <f t="shared" si="1"/>
        <v>1777434.2440000004</v>
      </c>
      <c r="J21" s="2"/>
      <c r="K21" s="189"/>
      <c r="L21" s="2"/>
    </row>
    <row r="22" spans="1:12" x14ac:dyDescent="0.3">
      <c r="A22" s="36" t="s">
        <v>350</v>
      </c>
      <c r="B22" s="37"/>
      <c r="C22" s="497"/>
      <c r="D22" s="319">
        <v>47925.046999999926</v>
      </c>
      <c r="E22" s="319">
        <v>47925.046999999926</v>
      </c>
      <c r="F22" s="553">
        <v>47925.046999999926</v>
      </c>
      <c r="G22" s="321">
        <v>47925.046999999926</v>
      </c>
      <c r="H22" s="39">
        <f t="shared" si="0"/>
        <v>47925.046999999926</v>
      </c>
      <c r="I22" s="39">
        <f t="shared" si="1"/>
        <v>191700.1879999997</v>
      </c>
      <c r="J22" s="2"/>
      <c r="K22" s="189"/>
      <c r="L22" s="2"/>
    </row>
    <row r="23" spans="1:12" x14ac:dyDescent="0.3">
      <c r="A23" s="36" t="s">
        <v>446</v>
      </c>
      <c r="B23" s="37"/>
      <c r="C23" s="497"/>
      <c r="D23" s="319">
        <v>0</v>
      </c>
      <c r="E23" s="319">
        <v>0</v>
      </c>
      <c r="F23" s="553">
        <v>0</v>
      </c>
      <c r="G23" s="321">
        <v>0</v>
      </c>
      <c r="H23" s="39">
        <f t="shared" si="0"/>
        <v>0</v>
      </c>
      <c r="I23" s="39">
        <f t="shared" si="1"/>
        <v>0</v>
      </c>
      <c r="J23" s="2"/>
      <c r="K23" s="189"/>
      <c r="L23" s="2"/>
    </row>
    <row r="24" spans="1:12" x14ac:dyDescent="0.3">
      <c r="A24" s="116" t="s">
        <v>316</v>
      </c>
      <c r="B24" s="310"/>
      <c r="C24" s="500"/>
      <c r="D24" s="343">
        <v>0</v>
      </c>
      <c r="E24" s="343">
        <v>0</v>
      </c>
      <c r="F24" s="343">
        <v>0</v>
      </c>
      <c r="G24" s="344">
        <v>0</v>
      </c>
      <c r="H24" s="62">
        <f t="shared" si="0"/>
        <v>0</v>
      </c>
      <c r="I24" s="62">
        <f t="shared" si="1"/>
        <v>0</v>
      </c>
      <c r="J24" s="2"/>
      <c r="K24" s="197"/>
      <c r="L24" s="2"/>
    </row>
    <row r="25" spans="1:12" x14ac:dyDescent="0.3">
      <c r="A25" s="116" t="s">
        <v>448</v>
      </c>
      <c r="B25" s="310"/>
      <c r="C25" s="500"/>
      <c r="D25" s="343">
        <v>0</v>
      </c>
      <c r="E25" s="343">
        <v>0</v>
      </c>
      <c r="F25" s="343">
        <v>0</v>
      </c>
      <c r="G25" s="344">
        <v>0</v>
      </c>
      <c r="H25" s="62">
        <f t="shared" si="0"/>
        <v>0</v>
      </c>
      <c r="I25" s="62">
        <f t="shared" si="1"/>
        <v>0</v>
      </c>
      <c r="J25" s="2"/>
      <c r="K25" s="197"/>
      <c r="L25" s="2"/>
    </row>
    <row r="26" spans="1:12" x14ac:dyDescent="0.3">
      <c r="A26" s="116" t="s">
        <v>351</v>
      </c>
      <c r="B26" s="310"/>
      <c r="C26" s="500"/>
      <c r="D26" s="343">
        <v>174263.40000000002</v>
      </c>
      <c r="E26" s="343">
        <v>174263.40000000002</v>
      </c>
      <c r="F26" s="343">
        <v>174263.40000000002</v>
      </c>
      <c r="G26" s="344">
        <v>174263.40000000002</v>
      </c>
      <c r="H26" s="62">
        <f t="shared" si="0"/>
        <v>174263.40000000002</v>
      </c>
      <c r="I26" s="62">
        <f t="shared" si="1"/>
        <v>697053.60000000009</v>
      </c>
      <c r="J26" s="2"/>
      <c r="K26" s="197"/>
      <c r="L26" s="2"/>
    </row>
    <row r="27" spans="1:12" x14ac:dyDescent="0.3">
      <c r="A27" s="115" t="s">
        <v>285</v>
      </c>
      <c r="B27" s="53"/>
      <c r="C27" s="474"/>
      <c r="D27" s="223">
        <f t="shared" ref="D27" si="11">D28+D33+D34+D35</f>
        <v>358922.23857756134</v>
      </c>
      <c r="E27" s="223">
        <f t="shared" ref="E27" si="12">E28+E33+E34+E35</f>
        <v>358922.23857756134</v>
      </c>
      <c r="F27" s="223">
        <f t="shared" ref="F27:G27" si="13">F28+F33+F34+F35</f>
        <v>358922.23857756134</v>
      </c>
      <c r="G27" s="224">
        <f t="shared" si="13"/>
        <v>358922.23857756134</v>
      </c>
      <c r="H27" s="300">
        <f t="shared" si="0"/>
        <v>358922.23857756134</v>
      </c>
      <c r="I27" s="300">
        <f t="shared" si="1"/>
        <v>1435688.9543102453</v>
      </c>
      <c r="J27" s="2"/>
      <c r="K27" s="197"/>
      <c r="L27" s="2"/>
    </row>
    <row r="28" spans="1:12" x14ac:dyDescent="0.3">
      <c r="A28" s="116" t="s">
        <v>347</v>
      </c>
      <c r="B28" s="310"/>
      <c r="C28" s="499"/>
      <c r="D28" s="297">
        <f t="shared" ref="D28:G28" si="14">SUM(D29:D32)</f>
        <v>346095.24057756132</v>
      </c>
      <c r="E28" s="297">
        <f t="shared" si="14"/>
        <v>346095.24057756132</v>
      </c>
      <c r="F28" s="297">
        <f t="shared" ref="F28" si="15">SUM(F29:F32)</f>
        <v>346095.24057756132</v>
      </c>
      <c r="G28" s="296">
        <f t="shared" si="14"/>
        <v>346095.24057756132</v>
      </c>
      <c r="H28" s="62">
        <f t="shared" si="0"/>
        <v>346095.24057756132</v>
      </c>
      <c r="I28" s="62">
        <f t="shared" si="1"/>
        <v>1384380.9623102453</v>
      </c>
      <c r="J28" s="2"/>
      <c r="K28" s="189"/>
      <c r="L28" s="2"/>
    </row>
    <row r="29" spans="1:12" x14ac:dyDescent="0.3">
      <c r="A29" s="36" t="s">
        <v>348</v>
      </c>
      <c r="B29" s="37"/>
      <c r="C29" s="497"/>
      <c r="D29" s="320">
        <v>235147.60357756133</v>
      </c>
      <c r="E29" s="320">
        <v>235147.60357756133</v>
      </c>
      <c r="F29" s="553">
        <v>235147.60357756133</v>
      </c>
      <c r="G29" s="321">
        <v>235147.60357756133</v>
      </c>
      <c r="H29" s="10">
        <f t="shared" si="0"/>
        <v>235147.60357756133</v>
      </c>
      <c r="I29" s="39">
        <f t="shared" si="1"/>
        <v>940590.41431024531</v>
      </c>
      <c r="J29" s="2"/>
      <c r="K29" s="188"/>
      <c r="L29" s="2"/>
    </row>
    <row r="30" spans="1:12" ht="13.15" customHeight="1" x14ac:dyDescent="0.3">
      <c r="A30" s="36" t="s">
        <v>349</v>
      </c>
      <c r="B30" s="37"/>
      <c r="C30" s="497"/>
      <c r="D30" s="319">
        <v>101431.91900000001</v>
      </c>
      <c r="E30" s="319">
        <v>101431.91900000001</v>
      </c>
      <c r="F30" s="553">
        <v>101431.91900000001</v>
      </c>
      <c r="G30" s="321">
        <v>101431.91900000001</v>
      </c>
      <c r="H30" s="39">
        <f t="shared" si="0"/>
        <v>101431.91900000001</v>
      </c>
      <c r="I30" s="39">
        <f t="shared" si="1"/>
        <v>405727.67600000004</v>
      </c>
      <c r="J30" s="2"/>
      <c r="K30" s="189"/>
      <c r="L30" s="2"/>
    </row>
    <row r="31" spans="1:12" x14ac:dyDescent="0.3">
      <c r="A31" s="36" t="s">
        <v>350</v>
      </c>
      <c r="B31" s="37"/>
      <c r="C31" s="497"/>
      <c r="D31" s="319">
        <v>9515.7179999999644</v>
      </c>
      <c r="E31" s="319">
        <v>9515.7179999999644</v>
      </c>
      <c r="F31" s="553">
        <v>9515.7179999999644</v>
      </c>
      <c r="G31" s="321">
        <v>9515.7179999999644</v>
      </c>
      <c r="H31" s="39">
        <f t="shared" si="0"/>
        <v>9515.7179999999644</v>
      </c>
      <c r="I31" s="39">
        <f t="shared" si="1"/>
        <v>38062.871999999858</v>
      </c>
      <c r="J31" s="2"/>
      <c r="K31" s="189"/>
      <c r="L31" s="2"/>
    </row>
    <row r="32" spans="1:12" x14ac:dyDescent="0.3">
      <c r="A32" s="36" t="s">
        <v>446</v>
      </c>
      <c r="B32" s="37"/>
      <c r="C32" s="497"/>
      <c r="D32" s="319">
        <v>0</v>
      </c>
      <c r="E32" s="319">
        <v>0</v>
      </c>
      <c r="F32" s="553">
        <v>0</v>
      </c>
      <c r="G32" s="321">
        <v>0</v>
      </c>
      <c r="H32" s="39">
        <f t="shared" si="0"/>
        <v>0</v>
      </c>
      <c r="I32" s="39">
        <f t="shared" si="1"/>
        <v>0</v>
      </c>
      <c r="J32" s="2"/>
      <c r="K32" s="189"/>
      <c r="L32" s="2"/>
    </row>
    <row r="33" spans="1:12" x14ac:dyDescent="0.3">
      <c r="A33" s="116" t="s">
        <v>316</v>
      </c>
      <c r="B33" s="310"/>
      <c r="C33" s="500"/>
      <c r="D33" s="343">
        <v>0</v>
      </c>
      <c r="E33" s="343">
        <v>0</v>
      </c>
      <c r="F33" s="343">
        <v>0</v>
      </c>
      <c r="G33" s="344">
        <v>0</v>
      </c>
      <c r="H33" s="62">
        <f t="shared" si="0"/>
        <v>0</v>
      </c>
      <c r="I33" s="62">
        <f t="shared" si="1"/>
        <v>0</v>
      </c>
      <c r="J33" s="2"/>
      <c r="K33" s="197"/>
      <c r="L33" s="2"/>
    </row>
    <row r="34" spans="1:12" x14ac:dyDescent="0.3">
      <c r="A34" s="116" t="s">
        <v>448</v>
      </c>
      <c r="B34" s="310"/>
      <c r="C34" s="500"/>
      <c r="D34" s="343">
        <v>0</v>
      </c>
      <c r="E34" s="343">
        <v>0</v>
      </c>
      <c r="F34" s="343">
        <v>0</v>
      </c>
      <c r="G34" s="344">
        <v>0</v>
      </c>
      <c r="H34" s="62">
        <f t="shared" si="0"/>
        <v>0</v>
      </c>
      <c r="I34" s="62">
        <f t="shared" si="1"/>
        <v>0</v>
      </c>
      <c r="J34" s="2"/>
      <c r="K34" s="197"/>
      <c r="L34" s="2"/>
    </row>
    <row r="35" spans="1:12" x14ac:dyDescent="0.3">
      <c r="A35" s="116" t="s">
        <v>351</v>
      </c>
      <c r="B35" s="310"/>
      <c r="C35" s="500"/>
      <c r="D35" s="343">
        <v>12826.998000000003</v>
      </c>
      <c r="E35" s="343">
        <v>12826.998000000003</v>
      </c>
      <c r="F35" s="343">
        <v>12826.998000000003</v>
      </c>
      <c r="G35" s="344">
        <v>12826.998000000003</v>
      </c>
      <c r="H35" s="62">
        <f t="shared" si="0"/>
        <v>12826.998000000003</v>
      </c>
      <c r="I35" s="62">
        <f t="shared" si="1"/>
        <v>51307.992000000013</v>
      </c>
      <c r="J35" s="2"/>
      <c r="K35" s="197"/>
      <c r="L35" s="2"/>
    </row>
    <row r="36" spans="1:12" x14ac:dyDescent="0.3">
      <c r="A36" s="18" t="s">
        <v>331</v>
      </c>
      <c r="B36" s="34"/>
      <c r="C36" s="476"/>
      <c r="D36" s="19">
        <f t="shared" ref="D36:G36" si="16">D9+D18+D27</f>
        <v>9331978.2030165959</v>
      </c>
      <c r="E36" s="19">
        <f t="shared" si="16"/>
        <v>9331978.2030165959</v>
      </c>
      <c r="F36" s="19">
        <f t="shared" ref="F36" si="17">F9+F18+F27</f>
        <v>9331978.2030165959</v>
      </c>
      <c r="G36" s="35">
        <f t="shared" si="16"/>
        <v>9331978.2030165959</v>
      </c>
      <c r="H36" s="35">
        <f t="shared" si="0"/>
        <v>9331978.2030165959</v>
      </c>
      <c r="I36" s="35">
        <f t="shared" si="1"/>
        <v>37327912.812066384</v>
      </c>
      <c r="J36" s="2"/>
      <c r="K36" s="197"/>
      <c r="L36" s="2"/>
    </row>
    <row r="37" spans="1:12" x14ac:dyDescent="0.3">
      <c r="F37" s="2"/>
      <c r="G37" s="2"/>
      <c r="H37" s="2"/>
      <c r="I37" s="2"/>
      <c r="J37" s="2"/>
      <c r="K37" s="2"/>
      <c r="L37" s="2"/>
    </row>
    <row r="38" spans="1:12" ht="27.65" customHeight="1" x14ac:dyDescent="0.3">
      <c r="A38" s="666" t="s">
        <v>352</v>
      </c>
      <c r="B38" s="655"/>
      <c r="C38" s="3" t="str">
        <f>Annee0</f>
        <v>Année 0</v>
      </c>
      <c r="D38" s="3" t="str">
        <f>Annee1</f>
        <v>Année 1</v>
      </c>
      <c r="E38" s="3" t="str">
        <f>Annee2</f>
        <v>Année 2</v>
      </c>
      <c r="F38" s="516" t="str">
        <f>Annee3</f>
        <v>Année 3</v>
      </c>
      <c r="G38" s="541" t="str">
        <f>Annee4</f>
        <v>Année 4</v>
      </c>
      <c r="H38" s="181" t="s">
        <v>256</v>
      </c>
      <c r="I38" s="181" t="s">
        <v>59</v>
      </c>
      <c r="J38" s="2"/>
      <c r="K38" s="661" t="s">
        <v>290</v>
      </c>
      <c r="L38" s="2"/>
    </row>
    <row r="39" spans="1:12" x14ac:dyDescent="0.3">
      <c r="A39" s="667"/>
      <c r="B39" s="656"/>
      <c r="C39" s="77">
        <v>12</v>
      </c>
      <c r="D39" s="77">
        <v>12</v>
      </c>
      <c r="E39" s="77">
        <v>12</v>
      </c>
      <c r="F39" s="77">
        <v>12</v>
      </c>
      <c r="G39" s="183">
        <v>12</v>
      </c>
      <c r="H39" s="78">
        <f t="shared" ref="H39:H48" si="18">IFERROR(AVERAGE(C39:G39),0)</f>
        <v>12</v>
      </c>
      <c r="I39" s="78">
        <f t="shared" ref="I39:I48" si="19">SUM(C39:G39)</f>
        <v>60</v>
      </c>
      <c r="J39" s="2"/>
      <c r="K39" s="674"/>
      <c r="L39" s="2"/>
    </row>
    <row r="40" spans="1:12" x14ac:dyDescent="0.3">
      <c r="A40" s="115" t="s">
        <v>347</v>
      </c>
      <c r="B40" s="53"/>
      <c r="C40" s="474"/>
      <c r="D40" s="223">
        <f t="shared" ref="D40:G40" si="20">SUM(D41:D44)</f>
        <v>177.27</v>
      </c>
      <c r="E40" s="223">
        <f t="shared" si="20"/>
        <v>175.44</v>
      </c>
      <c r="F40" s="223">
        <f t="shared" ref="F40" si="21">SUM(F41:F44)</f>
        <v>175.01999999999998</v>
      </c>
      <c r="G40" s="224">
        <f t="shared" si="20"/>
        <v>175.01</v>
      </c>
      <c r="H40" s="300">
        <f t="shared" si="18"/>
        <v>175.685</v>
      </c>
      <c r="I40" s="300">
        <f t="shared" si="19"/>
        <v>702.74</v>
      </c>
      <c r="J40" s="2"/>
      <c r="K40" s="189"/>
      <c r="L40" s="2"/>
    </row>
    <row r="41" spans="1:12" x14ac:dyDescent="0.3">
      <c r="A41" s="36" t="s">
        <v>348</v>
      </c>
      <c r="B41" s="37"/>
      <c r="C41" s="497"/>
      <c r="D41" s="320">
        <v>113.47</v>
      </c>
      <c r="E41" s="320">
        <v>112.45</v>
      </c>
      <c r="F41" s="553">
        <v>112.21</v>
      </c>
      <c r="G41" s="321">
        <v>112.21</v>
      </c>
      <c r="H41" s="10">
        <f t="shared" si="18"/>
        <v>112.58499999999999</v>
      </c>
      <c r="I41" s="39">
        <f t="shared" si="19"/>
        <v>450.34</v>
      </c>
      <c r="J41" s="2"/>
      <c r="K41" s="188"/>
      <c r="L41" s="2"/>
    </row>
    <row r="42" spans="1:12" ht="13.15" customHeight="1" x14ac:dyDescent="0.3">
      <c r="A42" s="36" t="s">
        <v>349</v>
      </c>
      <c r="B42" s="37"/>
      <c r="C42" s="497"/>
      <c r="D42" s="319">
        <v>58.43</v>
      </c>
      <c r="E42" s="319">
        <v>57.62</v>
      </c>
      <c r="F42" s="553">
        <v>57.43</v>
      </c>
      <c r="G42" s="321">
        <v>57.43</v>
      </c>
      <c r="H42" s="39">
        <f t="shared" si="18"/>
        <v>57.727499999999999</v>
      </c>
      <c r="I42" s="39">
        <f t="shared" si="19"/>
        <v>230.91</v>
      </c>
      <c r="J42" s="2"/>
      <c r="K42" s="189"/>
      <c r="L42" s="2"/>
    </row>
    <row r="43" spans="1:12" x14ac:dyDescent="0.3">
      <c r="A43" s="36" t="s">
        <v>350</v>
      </c>
      <c r="B43" s="37"/>
      <c r="C43" s="497"/>
      <c r="D43" s="319">
        <v>5.37</v>
      </c>
      <c r="E43" s="319">
        <v>5.37</v>
      </c>
      <c r="F43" s="553">
        <v>5.38</v>
      </c>
      <c r="G43" s="321">
        <v>5.37</v>
      </c>
      <c r="H43" s="39">
        <f t="shared" si="18"/>
        <v>5.3725000000000005</v>
      </c>
      <c r="I43" s="39">
        <f t="shared" si="19"/>
        <v>21.490000000000002</v>
      </c>
      <c r="J43" s="2"/>
      <c r="K43" s="189"/>
      <c r="L43" s="2"/>
    </row>
    <row r="44" spans="1:12" x14ac:dyDescent="0.3">
      <c r="A44" s="36" t="s">
        <v>446</v>
      </c>
      <c r="B44" s="37"/>
      <c r="C44" s="497"/>
      <c r="D44" s="319">
        <v>0</v>
      </c>
      <c r="E44" s="319">
        <v>0</v>
      </c>
      <c r="F44" s="553">
        <v>0</v>
      </c>
      <c r="G44" s="321">
        <v>0</v>
      </c>
      <c r="H44" s="39">
        <f t="shared" si="18"/>
        <v>0</v>
      </c>
      <c r="I44" s="39">
        <f t="shared" si="19"/>
        <v>0</v>
      </c>
      <c r="J44" s="2"/>
      <c r="K44" s="189"/>
      <c r="L44" s="2"/>
    </row>
    <row r="45" spans="1:12" x14ac:dyDescent="0.3">
      <c r="A45" s="115" t="s">
        <v>316</v>
      </c>
      <c r="B45" s="53"/>
      <c r="C45" s="500"/>
      <c r="D45" s="343">
        <v>0</v>
      </c>
      <c r="E45" s="343">
        <v>0</v>
      </c>
      <c r="F45" s="343">
        <v>0</v>
      </c>
      <c r="G45" s="344">
        <v>0</v>
      </c>
      <c r="H45" s="300">
        <f t="shared" si="18"/>
        <v>0</v>
      </c>
      <c r="I45" s="300">
        <f t="shared" si="19"/>
        <v>0</v>
      </c>
      <c r="J45" s="2"/>
      <c r="K45" s="197"/>
      <c r="L45" s="2"/>
    </row>
    <row r="46" spans="1:12" x14ac:dyDescent="0.3">
      <c r="A46" s="115" t="s">
        <v>448</v>
      </c>
      <c r="B46" s="53"/>
      <c r="C46" s="500"/>
      <c r="D46" s="343">
        <v>0</v>
      </c>
      <c r="E46" s="343">
        <v>0</v>
      </c>
      <c r="F46" s="343">
        <v>0</v>
      </c>
      <c r="G46" s="344">
        <v>0</v>
      </c>
      <c r="H46" s="300">
        <f t="shared" si="18"/>
        <v>0</v>
      </c>
      <c r="I46" s="300">
        <f t="shared" si="19"/>
        <v>0</v>
      </c>
      <c r="J46" s="2"/>
      <c r="K46" s="197"/>
      <c r="L46" s="2"/>
    </row>
    <row r="47" spans="1:12" x14ac:dyDescent="0.3">
      <c r="A47" s="115" t="s">
        <v>351</v>
      </c>
      <c r="B47" s="53"/>
      <c r="C47" s="500"/>
      <c r="D47" s="343">
        <v>11</v>
      </c>
      <c r="E47" s="343">
        <v>11</v>
      </c>
      <c r="F47" s="343">
        <v>11</v>
      </c>
      <c r="G47" s="344">
        <v>11</v>
      </c>
      <c r="H47" s="300">
        <f t="shared" si="18"/>
        <v>11</v>
      </c>
      <c r="I47" s="300">
        <f t="shared" si="19"/>
        <v>44</v>
      </c>
      <c r="J47" s="2"/>
      <c r="K47" s="197"/>
      <c r="L47" s="2"/>
    </row>
    <row r="48" spans="1:12" x14ac:dyDescent="0.3">
      <c r="A48" s="18" t="s">
        <v>332</v>
      </c>
      <c r="B48" s="34"/>
      <c r="C48" s="476"/>
      <c r="D48" s="19">
        <f t="shared" ref="D48:E48" si="22">D40+D45+D46+D47</f>
        <v>188.27</v>
      </c>
      <c r="E48" s="19">
        <f t="shared" si="22"/>
        <v>186.44</v>
      </c>
      <c r="F48" s="19">
        <f t="shared" ref="F48" si="23">F40+F45+F46+F47</f>
        <v>186.01999999999998</v>
      </c>
      <c r="G48" s="35">
        <f>G40+G45+G46+G47</f>
        <v>186.01</v>
      </c>
      <c r="H48" s="35">
        <f t="shared" si="18"/>
        <v>186.685</v>
      </c>
      <c r="I48" s="35">
        <f t="shared" si="19"/>
        <v>746.74</v>
      </c>
      <c r="J48" s="2"/>
      <c r="K48" s="197"/>
      <c r="L48" s="2"/>
    </row>
    <row r="49" spans="1:12" x14ac:dyDescent="0.3">
      <c r="C49" s="244"/>
      <c r="D49" s="164"/>
      <c r="E49" s="164"/>
      <c r="F49" s="164"/>
      <c r="G49" s="164"/>
      <c r="H49" s="164"/>
      <c r="I49" s="2"/>
      <c r="J49" s="2"/>
      <c r="K49" s="2"/>
      <c r="L49" s="2"/>
    </row>
    <row r="50" spans="1:12" x14ac:dyDescent="0.3">
      <c r="C50" s="244"/>
      <c r="D50" s="164"/>
      <c r="E50" s="164"/>
      <c r="F50" s="164"/>
      <c r="G50" s="164"/>
      <c r="H50" s="164"/>
      <c r="I50" s="2"/>
      <c r="J50" s="2"/>
      <c r="K50" s="2"/>
      <c r="L50" s="2"/>
    </row>
    <row r="51" spans="1:12" x14ac:dyDescent="0.3">
      <c r="A51" s="42" t="s">
        <v>217</v>
      </c>
      <c r="B51" s="43"/>
      <c r="C51" s="44"/>
      <c r="D51" s="44"/>
      <c r="E51" s="44"/>
      <c r="F51" s="44"/>
      <c r="G51" s="44"/>
      <c r="H51" s="44"/>
      <c r="I51" s="44"/>
      <c r="J51" s="44"/>
      <c r="K51" s="44"/>
      <c r="L51" s="2"/>
    </row>
    <row r="52" spans="1:12" x14ac:dyDescent="0.3">
      <c r="C52" s="244"/>
      <c r="D52" s="164"/>
      <c r="E52" s="164"/>
      <c r="F52" s="164"/>
      <c r="G52" s="164"/>
      <c r="H52" s="164"/>
      <c r="I52" s="2"/>
      <c r="J52" s="2"/>
      <c r="K52" s="2"/>
      <c r="L52" s="2"/>
    </row>
    <row r="53" spans="1:12" ht="27.65" customHeight="1" x14ac:dyDescent="0.3">
      <c r="A53" s="655" t="s">
        <v>335</v>
      </c>
      <c r="B53" s="655" t="s">
        <v>336</v>
      </c>
      <c r="C53" s="3" t="str">
        <f>Annee0</f>
        <v>Année 0</v>
      </c>
      <c r="D53" s="3" t="str">
        <f>Annee1</f>
        <v>Année 1</v>
      </c>
      <c r="E53" s="3" t="str">
        <f>Annee2</f>
        <v>Année 2</v>
      </c>
      <c r="F53" s="516" t="str">
        <f>Annee3</f>
        <v>Année 3</v>
      </c>
      <c r="G53" s="541" t="str">
        <f>Annee4</f>
        <v>Année 4</v>
      </c>
      <c r="H53" s="181" t="s">
        <v>256</v>
      </c>
      <c r="I53" s="4" t="s">
        <v>59</v>
      </c>
      <c r="J53" s="2"/>
      <c r="K53" s="661" t="s">
        <v>290</v>
      </c>
      <c r="L53" s="2"/>
    </row>
    <row r="54" spans="1:12" ht="14.5" customHeight="1" x14ac:dyDescent="0.3">
      <c r="A54" s="656"/>
      <c r="B54" s="656"/>
      <c r="C54" s="77">
        <v>12</v>
      </c>
      <c r="D54" s="77">
        <v>12</v>
      </c>
      <c r="E54" s="77">
        <v>12</v>
      </c>
      <c r="F54" s="77">
        <v>12</v>
      </c>
      <c r="G54" s="183">
        <v>12</v>
      </c>
      <c r="H54" s="78">
        <f t="shared" ref="H54:H109" si="24">IFERROR(AVERAGE(C54:G54),0)</f>
        <v>12</v>
      </c>
      <c r="I54" s="78">
        <f t="shared" ref="I54:I109" si="25">SUM(C54:G54)</f>
        <v>60</v>
      </c>
      <c r="J54" s="2"/>
      <c r="K54" s="674"/>
      <c r="L54" s="2"/>
    </row>
    <row r="55" spans="1:12" x14ac:dyDescent="0.3">
      <c r="A55" s="115" t="s">
        <v>313</v>
      </c>
      <c r="B55" s="53"/>
      <c r="C55" s="474"/>
      <c r="D55" s="223">
        <f t="shared" ref="D55" si="26">D56+D61+D62+D63</f>
        <v>3472772.0654455838</v>
      </c>
      <c r="E55" s="223">
        <f t="shared" ref="E55" si="27">E56+E61+E62+E63</f>
        <v>3386411.4659952722</v>
      </c>
      <c r="F55" s="223">
        <f t="shared" ref="F55:G55" si="28">F56+F61+F62+F63</f>
        <v>3345409.9325257619</v>
      </c>
      <c r="G55" s="223">
        <f t="shared" si="28"/>
        <v>3288807.5298424107</v>
      </c>
      <c r="H55" s="300">
        <f t="shared" si="24"/>
        <v>3373350.2484522569</v>
      </c>
      <c r="I55" s="300">
        <f t="shared" si="25"/>
        <v>13493400.993809028</v>
      </c>
      <c r="J55" s="2"/>
      <c r="K55" s="462" t="s">
        <v>293</v>
      </c>
      <c r="L55" s="2"/>
    </row>
    <row r="56" spans="1:12" x14ac:dyDescent="0.3">
      <c r="A56" s="116" t="s">
        <v>347</v>
      </c>
      <c r="B56" s="310">
        <f>IFERROR(I56/(I$10+I$19+I$28),"-")</f>
        <v>0.36937511517587479</v>
      </c>
      <c r="C56" s="499"/>
      <c r="D56" s="297">
        <f>SUM(D57:D60)</f>
        <v>3423235.0200974559</v>
      </c>
      <c r="E56" s="297">
        <f t="shared" ref="E56:G56" si="29">SUM(E57:E60)</f>
        <v>3336874.4206471443</v>
      </c>
      <c r="F56" s="297">
        <f t="shared" ref="F56" si="30">SUM(F57:F60)</f>
        <v>3295872.8871776341</v>
      </c>
      <c r="G56" s="297">
        <f t="shared" si="29"/>
        <v>3239270.4844942829</v>
      </c>
      <c r="H56" s="62">
        <f t="shared" si="24"/>
        <v>3323813.2031041291</v>
      </c>
      <c r="I56" s="62">
        <f t="shared" si="25"/>
        <v>13295252.812416516</v>
      </c>
      <c r="J56" s="2"/>
      <c r="K56" s="189"/>
      <c r="L56" s="2"/>
    </row>
    <row r="57" spans="1:12" x14ac:dyDescent="0.3">
      <c r="A57" s="36" t="s">
        <v>348</v>
      </c>
      <c r="B57" s="37">
        <f>IFERROR(I57/(I$11+I$20+I$29),"-")</f>
        <v>0.38501895961717891</v>
      </c>
      <c r="C57" s="497"/>
      <c r="D57" s="319">
        <v>2397478.3475898998</v>
      </c>
      <c r="E57" s="320">
        <v>2366336.0618267101</v>
      </c>
      <c r="F57" s="320">
        <v>2340366.2563659153</v>
      </c>
      <c r="G57" s="320">
        <v>2311593.0455516456</v>
      </c>
      <c r="H57" s="10">
        <f t="shared" si="24"/>
        <v>2353943.4278335432</v>
      </c>
      <c r="I57" s="39">
        <f t="shared" si="25"/>
        <v>9415773.7113341726</v>
      </c>
      <c r="J57" s="2"/>
      <c r="K57" s="188"/>
      <c r="L57" s="2"/>
    </row>
    <row r="58" spans="1:12" ht="13.15" customHeight="1" x14ac:dyDescent="0.3">
      <c r="A58" s="36" t="s">
        <v>349</v>
      </c>
      <c r="B58" s="37">
        <f>IFERROR(I58/(I$12+I$21+I$30),"-")</f>
        <v>0.33506678459118622</v>
      </c>
      <c r="C58" s="497"/>
      <c r="D58" s="319">
        <v>930821.51323993551</v>
      </c>
      <c r="E58" s="319">
        <v>888158.13369897089</v>
      </c>
      <c r="F58" s="319">
        <v>870730.56626951392</v>
      </c>
      <c r="G58" s="319">
        <v>844882.35003291932</v>
      </c>
      <c r="H58" s="520">
        <f t="shared" si="24"/>
        <v>883648.14081033482</v>
      </c>
      <c r="I58" s="39">
        <f t="shared" si="25"/>
        <v>3534592.5632413393</v>
      </c>
      <c r="J58" s="2"/>
      <c r="K58" s="189"/>
      <c r="L58" s="2"/>
    </row>
    <row r="59" spans="1:12" x14ac:dyDescent="0.3">
      <c r="A59" s="36" t="s">
        <v>350</v>
      </c>
      <c r="B59" s="37">
        <f>IFERROR(I59/(I$13+I$22+I$31),"-")</f>
        <v>0.34849884265272435</v>
      </c>
      <c r="C59" s="497"/>
      <c r="D59" s="319">
        <v>94935.159267620838</v>
      </c>
      <c r="E59" s="319">
        <v>82380.225121463038</v>
      </c>
      <c r="F59" s="319">
        <v>84776.064542205175</v>
      </c>
      <c r="G59" s="319">
        <v>82795.088909718092</v>
      </c>
      <c r="H59" s="520">
        <f t="shared" si="24"/>
        <v>86221.634460251793</v>
      </c>
      <c r="I59" s="39">
        <f t="shared" si="25"/>
        <v>344886.53784100717</v>
      </c>
      <c r="J59" s="2"/>
      <c r="K59" s="189"/>
      <c r="L59" s="2"/>
    </row>
    <row r="60" spans="1:12" x14ac:dyDescent="0.3">
      <c r="A60" s="36" t="s">
        <v>446</v>
      </c>
      <c r="B60" s="37" t="str">
        <f>IFERROR(I60/(I$14+I$23+I$32),"-")</f>
        <v>-</v>
      </c>
      <c r="C60" s="497"/>
      <c r="D60" s="319">
        <v>0</v>
      </c>
      <c r="E60" s="319">
        <v>0</v>
      </c>
      <c r="F60" s="319">
        <v>0</v>
      </c>
      <c r="G60" s="319">
        <v>0</v>
      </c>
      <c r="H60" s="520">
        <f t="shared" si="24"/>
        <v>0</v>
      </c>
      <c r="I60" s="39">
        <f t="shared" si="25"/>
        <v>0</v>
      </c>
      <c r="J60" s="2"/>
      <c r="K60" s="189"/>
      <c r="L60" s="2"/>
    </row>
    <row r="61" spans="1:12" x14ac:dyDescent="0.3">
      <c r="A61" s="116" t="s">
        <v>316</v>
      </c>
      <c r="B61" s="310" t="str">
        <f>IFERROR(I61/(I$15+I$24+I$33),"-")</f>
        <v>-</v>
      </c>
      <c r="C61" s="500"/>
      <c r="D61" s="628">
        <v>0</v>
      </c>
      <c r="E61" s="343">
        <v>0</v>
      </c>
      <c r="F61" s="343">
        <v>0</v>
      </c>
      <c r="G61" s="343">
        <v>0</v>
      </c>
      <c r="H61" s="62">
        <f t="shared" si="24"/>
        <v>0</v>
      </c>
      <c r="I61" s="62">
        <f t="shared" si="25"/>
        <v>0</v>
      </c>
      <c r="J61" s="2"/>
      <c r="K61" s="197"/>
      <c r="L61" s="2"/>
    </row>
    <row r="62" spans="1:12" x14ac:dyDescent="0.3">
      <c r="A62" s="116" t="s">
        <v>448</v>
      </c>
      <c r="B62" s="310" t="str">
        <f>IFERROR(I62/(I$16+I$25+I$34),"-")</f>
        <v>-</v>
      </c>
      <c r="C62" s="500"/>
      <c r="D62" s="628">
        <v>0</v>
      </c>
      <c r="E62" s="343">
        <v>0</v>
      </c>
      <c r="F62" s="343">
        <v>0</v>
      </c>
      <c r="G62" s="343">
        <v>0</v>
      </c>
      <c r="H62" s="62">
        <f t="shared" si="24"/>
        <v>0</v>
      </c>
      <c r="I62" s="62">
        <f t="shared" si="25"/>
        <v>0</v>
      </c>
      <c r="J62" s="2"/>
      <c r="K62" s="197"/>
      <c r="L62" s="2"/>
    </row>
    <row r="63" spans="1:12" x14ac:dyDescent="0.3">
      <c r="A63" s="116" t="s">
        <v>351</v>
      </c>
      <c r="B63" s="310">
        <f>IFERROR(I63/(I$17+I$26+I$35),"-")</f>
        <v>0.14853600000000003</v>
      </c>
      <c r="C63" s="500"/>
      <c r="D63" s="628">
        <v>49537.04534812802</v>
      </c>
      <c r="E63" s="343">
        <v>49537.04534812802</v>
      </c>
      <c r="F63" s="343">
        <v>49537.04534812802</v>
      </c>
      <c r="G63" s="343">
        <v>49537.04534812802</v>
      </c>
      <c r="H63" s="62">
        <f t="shared" si="24"/>
        <v>49537.04534812802</v>
      </c>
      <c r="I63" s="62">
        <f t="shared" si="25"/>
        <v>198148.18139251208</v>
      </c>
      <c r="J63" s="2"/>
      <c r="K63" s="197"/>
      <c r="L63" s="2"/>
    </row>
    <row r="64" spans="1:12" x14ac:dyDescent="0.3">
      <c r="A64" s="115" t="s">
        <v>66</v>
      </c>
      <c r="B64" s="53"/>
      <c r="C64" s="474"/>
      <c r="D64" s="223">
        <f t="shared" ref="D64" si="31">D65+D70+D71+D72</f>
        <v>132423.26985769015</v>
      </c>
      <c r="E64" s="223">
        <f t="shared" ref="E64" si="32">E65+E70+E71+E72</f>
        <v>128611.57836103759</v>
      </c>
      <c r="F64" s="223">
        <f t="shared" ref="F64:G64" si="33">F65+F70+F71+F72</f>
        <v>125104.97135692493</v>
      </c>
      <c r="G64" s="223">
        <f t="shared" si="33"/>
        <v>121299.38964809902</v>
      </c>
      <c r="H64" s="300">
        <f t="shared" si="24"/>
        <v>126859.80230593792</v>
      </c>
      <c r="I64" s="300">
        <f t="shared" si="25"/>
        <v>507439.20922375168</v>
      </c>
      <c r="J64" s="2"/>
      <c r="K64" s="462" t="s">
        <v>293</v>
      </c>
      <c r="L64" s="2"/>
    </row>
    <row r="65" spans="1:12" x14ac:dyDescent="0.3">
      <c r="A65" s="116" t="s">
        <v>347</v>
      </c>
      <c r="B65" s="310">
        <f>IFERROR(I65/(I$10+I$19+I$28),"-")</f>
        <v>1.4035591605482629E-2</v>
      </c>
      <c r="C65" s="499"/>
      <c r="D65" s="297">
        <f t="shared" ref="D65:G65" si="34">SUM(D66:D69)</f>
        <v>131862.40533879792</v>
      </c>
      <c r="E65" s="297">
        <f t="shared" si="34"/>
        <v>128050.71384214537</v>
      </c>
      <c r="F65" s="297">
        <f t="shared" ref="F65" si="35">SUM(F66:F69)</f>
        <v>124544.10683803271</v>
      </c>
      <c r="G65" s="297">
        <f t="shared" si="34"/>
        <v>120738.5251292068</v>
      </c>
      <c r="H65" s="62">
        <f t="shared" si="24"/>
        <v>126298.9377870457</v>
      </c>
      <c r="I65" s="62">
        <f t="shared" si="25"/>
        <v>505195.75114818278</v>
      </c>
      <c r="J65" s="2"/>
      <c r="K65" s="189"/>
      <c r="L65" s="2"/>
    </row>
    <row r="66" spans="1:12" x14ac:dyDescent="0.3">
      <c r="A66" s="36" t="s">
        <v>348</v>
      </c>
      <c r="B66" s="37">
        <f>IFERROR(I66/(I$11+I$20+I$29),"-")</f>
        <v>1.5557152819822449E-2</v>
      </c>
      <c r="C66" s="497"/>
      <c r="D66" s="319">
        <v>98036.582711960567</v>
      </c>
      <c r="E66" s="320">
        <v>96061.192932662554</v>
      </c>
      <c r="F66" s="320">
        <v>94211.867389066581</v>
      </c>
      <c r="G66" s="320">
        <v>92145.986189709991</v>
      </c>
      <c r="H66" s="10">
        <f t="shared" si="24"/>
        <v>95113.90730584992</v>
      </c>
      <c r="I66" s="39">
        <f t="shared" si="25"/>
        <v>380455.62922339968</v>
      </c>
      <c r="J66" s="2"/>
      <c r="K66" s="188"/>
      <c r="L66" s="2"/>
    </row>
    <row r="67" spans="1:12" ht="13.15" customHeight="1" x14ac:dyDescent="0.3">
      <c r="A67" s="36" t="s">
        <v>349</v>
      </c>
      <c r="B67" s="37">
        <f>IFERROR(I67/(I$12+I$21+I$30),"-")</f>
        <v>1.058401372149372E-2</v>
      </c>
      <c r="C67" s="497"/>
      <c r="D67" s="319">
        <v>30429.201647296424</v>
      </c>
      <c r="E67" s="319">
        <v>28698.09018111333</v>
      </c>
      <c r="F67" s="319">
        <v>27113.637253006797</v>
      </c>
      <c r="G67" s="319">
        <v>25408.980457901162</v>
      </c>
      <c r="H67" s="520">
        <f t="shared" si="24"/>
        <v>27912.477384829428</v>
      </c>
      <c r="I67" s="39">
        <f t="shared" si="25"/>
        <v>111649.90953931771</v>
      </c>
      <c r="J67" s="2"/>
      <c r="K67" s="189"/>
      <c r="L67" s="2"/>
    </row>
    <row r="68" spans="1:12" x14ac:dyDescent="0.3">
      <c r="A68" s="36" t="s">
        <v>350</v>
      </c>
      <c r="B68" s="37">
        <f>IFERROR(I68/(I$13+I$22+I$31),"-")</f>
        <v>1.3227317873787486E-2</v>
      </c>
      <c r="C68" s="497"/>
      <c r="D68" s="319">
        <v>3396.6209795409145</v>
      </c>
      <c r="E68" s="319">
        <v>3291.4307283694811</v>
      </c>
      <c r="F68" s="319">
        <v>3218.6021959593209</v>
      </c>
      <c r="G68" s="319">
        <v>3183.5584815956513</v>
      </c>
      <c r="H68" s="520">
        <f t="shared" si="24"/>
        <v>3272.5530963663418</v>
      </c>
      <c r="I68" s="39">
        <f t="shared" si="25"/>
        <v>13090.212385465367</v>
      </c>
      <c r="J68" s="2"/>
      <c r="K68" s="189"/>
      <c r="L68" s="2"/>
    </row>
    <row r="69" spans="1:12" x14ac:dyDescent="0.3">
      <c r="A69" s="36" t="s">
        <v>446</v>
      </c>
      <c r="B69" s="37" t="str">
        <f>IFERROR(I69/(I$14+I$23+I$32),"-")</f>
        <v>-</v>
      </c>
      <c r="C69" s="497"/>
      <c r="D69" s="319">
        <v>0</v>
      </c>
      <c r="E69" s="319">
        <v>0</v>
      </c>
      <c r="F69" s="319">
        <v>0</v>
      </c>
      <c r="G69" s="319">
        <v>0</v>
      </c>
      <c r="H69" s="520">
        <f t="shared" si="24"/>
        <v>0</v>
      </c>
      <c r="I69" s="39">
        <f t="shared" si="25"/>
        <v>0</v>
      </c>
      <c r="J69" s="2"/>
      <c r="K69" s="189"/>
      <c r="L69" s="2"/>
    </row>
    <row r="70" spans="1:12" x14ac:dyDescent="0.3">
      <c r="A70" s="116" t="s">
        <v>316</v>
      </c>
      <c r="B70" s="310" t="str">
        <f>IFERROR(I70/(I$15+I$24+I$33),"-")</f>
        <v>-</v>
      </c>
      <c r="C70" s="500"/>
      <c r="D70" s="628">
        <v>0</v>
      </c>
      <c r="E70" s="343">
        <v>0</v>
      </c>
      <c r="F70" s="343">
        <v>0</v>
      </c>
      <c r="G70" s="343">
        <v>0</v>
      </c>
      <c r="H70" s="62">
        <f t="shared" si="24"/>
        <v>0</v>
      </c>
      <c r="I70" s="62">
        <f t="shared" si="25"/>
        <v>0</v>
      </c>
      <c r="J70" s="2"/>
      <c r="K70" s="197"/>
      <c r="L70" s="2"/>
    </row>
    <row r="71" spans="1:12" x14ac:dyDescent="0.3">
      <c r="A71" s="116" t="s">
        <v>448</v>
      </c>
      <c r="B71" s="310" t="str">
        <f>IFERROR(I71/(I$16+I$25+I$34),"-")</f>
        <v>-</v>
      </c>
      <c r="C71" s="500"/>
      <c r="D71" s="628">
        <v>0</v>
      </c>
      <c r="E71" s="343">
        <v>0</v>
      </c>
      <c r="F71" s="343">
        <v>0</v>
      </c>
      <c r="G71" s="343">
        <v>0</v>
      </c>
      <c r="H71" s="62">
        <f t="shared" si="24"/>
        <v>0</v>
      </c>
      <c r="I71" s="62">
        <f t="shared" si="25"/>
        <v>0</v>
      </c>
      <c r="J71" s="2"/>
      <c r="K71" s="197"/>
      <c r="L71" s="2"/>
    </row>
    <row r="72" spans="1:12" x14ac:dyDescent="0.3">
      <c r="A72" s="116" t="s">
        <v>351</v>
      </c>
      <c r="B72" s="310">
        <f>IFERROR(I72/(I$17+I$26+I$35),"-")</f>
        <v>1.6817428571428575E-3</v>
      </c>
      <c r="C72" s="500"/>
      <c r="D72" s="628">
        <v>560.86451889222883</v>
      </c>
      <c r="E72" s="343">
        <v>560.86451889222883</v>
      </c>
      <c r="F72" s="343">
        <v>560.86451889222883</v>
      </c>
      <c r="G72" s="343">
        <v>560.86451889222883</v>
      </c>
      <c r="H72" s="62">
        <f t="shared" si="24"/>
        <v>560.86451889222883</v>
      </c>
      <c r="I72" s="62">
        <f t="shared" si="25"/>
        <v>2243.4580755689153</v>
      </c>
      <c r="J72" s="2"/>
      <c r="K72" s="197"/>
      <c r="L72" s="2"/>
    </row>
    <row r="73" spans="1:12" x14ac:dyDescent="0.3">
      <c r="A73" s="115" t="s">
        <v>67</v>
      </c>
      <c r="B73" s="53"/>
      <c r="C73" s="474"/>
      <c r="D73" s="223">
        <f t="shared" ref="D73" si="36">D74+D79+D80+D81</f>
        <v>178330.7265376416</v>
      </c>
      <c r="E73" s="223">
        <f t="shared" ref="E73" si="37">E74+E79+E80+E81</f>
        <v>178330.72653764146</v>
      </c>
      <c r="F73" s="223">
        <f t="shared" ref="F73:G73" si="38">F74+F79+F80+F81</f>
        <v>178330.72653764146</v>
      </c>
      <c r="G73" s="223">
        <f t="shared" si="38"/>
        <v>178330.72653764163</v>
      </c>
      <c r="H73" s="300">
        <f t="shared" si="24"/>
        <v>178330.72653764155</v>
      </c>
      <c r="I73" s="300">
        <f t="shared" si="25"/>
        <v>713322.90615056618</v>
      </c>
      <c r="J73" s="2"/>
      <c r="K73" s="462" t="s">
        <v>295</v>
      </c>
      <c r="L73" s="2"/>
    </row>
    <row r="74" spans="1:12" x14ac:dyDescent="0.3">
      <c r="A74" s="116" t="s">
        <v>347</v>
      </c>
      <c r="B74" s="310">
        <f>IFERROR(I74/(I$10+I$19+I$28),"-")</f>
        <v>1.9817880437059916E-2</v>
      </c>
      <c r="C74" s="499"/>
      <c r="D74" s="297">
        <f t="shared" ref="D74:G74" si="39">SUM(D75:D78)</f>
        <v>178330.7265376416</v>
      </c>
      <c r="E74" s="297">
        <f t="shared" si="39"/>
        <v>178330.72653764146</v>
      </c>
      <c r="F74" s="297">
        <f t="shared" ref="F74" si="40">SUM(F75:F78)</f>
        <v>178330.72653764146</v>
      </c>
      <c r="G74" s="297">
        <f t="shared" si="39"/>
        <v>178330.72653764163</v>
      </c>
      <c r="H74" s="62">
        <f t="shared" si="24"/>
        <v>178330.72653764155</v>
      </c>
      <c r="I74" s="62">
        <f t="shared" si="25"/>
        <v>713322.90615056618</v>
      </c>
      <c r="J74" s="2"/>
      <c r="K74" s="189"/>
      <c r="L74" s="2"/>
    </row>
    <row r="75" spans="1:12" x14ac:dyDescent="0.3">
      <c r="A75" s="36" t="s">
        <v>348</v>
      </c>
      <c r="B75" s="37">
        <f>IFERROR(I75/(I$11+I$20+I$29),"-")</f>
        <v>1.9894100153243586E-2</v>
      </c>
      <c r="C75" s="497"/>
      <c r="D75" s="319">
        <v>121629.2993855479</v>
      </c>
      <c r="E75" s="320">
        <v>121629.29938554783</v>
      </c>
      <c r="F75" s="320">
        <v>121629.29938554783</v>
      </c>
      <c r="G75" s="320">
        <v>121629.29938554791</v>
      </c>
      <c r="H75" s="10">
        <f t="shared" si="24"/>
        <v>121629.29938554787</v>
      </c>
      <c r="I75" s="39">
        <f t="shared" si="25"/>
        <v>486517.19754219148</v>
      </c>
      <c r="J75" s="2"/>
      <c r="K75" s="188"/>
      <c r="L75" s="2"/>
    </row>
    <row r="76" spans="1:12" ht="13.15" customHeight="1" x14ac:dyDescent="0.3">
      <c r="A76" s="36" t="s">
        <v>349</v>
      </c>
      <c r="B76" s="37">
        <f>IFERROR(I76/(I$12+I$21+I$30),"-")</f>
        <v>1.9727291672697014E-2</v>
      </c>
      <c r="C76" s="497"/>
      <c r="D76" s="319">
        <v>52025.403326893858</v>
      </c>
      <c r="E76" s="319">
        <v>52025.403326893793</v>
      </c>
      <c r="F76" s="319">
        <v>52025.4033268938</v>
      </c>
      <c r="G76" s="319">
        <v>52025.403326893866</v>
      </c>
      <c r="H76" s="520">
        <f t="shared" si="24"/>
        <v>52025.403326893829</v>
      </c>
      <c r="I76" s="39">
        <f t="shared" si="25"/>
        <v>208101.61330757532</v>
      </c>
      <c r="J76" s="2"/>
      <c r="K76" s="189"/>
      <c r="L76" s="2"/>
    </row>
    <row r="77" spans="1:12" x14ac:dyDescent="0.3">
      <c r="A77" s="36" t="s">
        <v>350</v>
      </c>
      <c r="B77" s="37">
        <f>IFERROR(I77/(I$13+I$22+I$31),"-")</f>
        <v>1.8899999999999438E-2</v>
      </c>
      <c r="C77" s="497"/>
      <c r="D77" s="319">
        <v>4676.0238251998426</v>
      </c>
      <c r="E77" s="319">
        <v>4676.0238251998435</v>
      </c>
      <c r="F77" s="319">
        <v>4676.0238251998435</v>
      </c>
      <c r="G77" s="319">
        <v>4676.0238251998435</v>
      </c>
      <c r="H77" s="520">
        <f t="shared" si="24"/>
        <v>4676.0238251998435</v>
      </c>
      <c r="I77" s="39">
        <f t="shared" si="25"/>
        <v>18704.095300799374</v>
      </c>
      <c r="J77" s="2"/>
      <c r="K77" s="189"/>
      <c r="L77" s="2"/>
    </row>
    <row r="78" spans="1:12" x14ac:dyDescent="0.3">
      <c r="A78" s="36" t="s">
        <v>446</v>
      </c>
      <c r="B78" s="37" t="str">
        <f>IFERROR(I78/(I$14+I$23+I$32),"-")</f>
        <v>-</v>
      </c>
      <c r="C78" s="497"/>
      <c r="D78" s="319">
        <v>0</v>
      </c>
      <c r="E78" s="319">
        <v>0</v>
      </c>
      <c r="F78" s="319">
        <v>0</v>
      </c>
      <c r="G78" s="319">
        <v>0</v>
      </c>
      <c r="H78" s="520">
        <f t="shared" si="24"/>
        <v>0</v>
      </c>
      <c r="I78" s="39">
        <f t="shared" si="25"/>
        <v>0</v>
      </c>
      <c r="J78" s="2"/>
      <c r="K78" s="189"/>
      <c r="L78" s="2"/>
    </row>
    <row r="79" spans="1:12" x14ac:dyDescent="0.3">
      <c r="A79" s="116" t="s">
        <v>316</v>
      </c>
      <c r="B79" s="310" t="str">
        <f>IFERROR(I79/(I$15+I$24+I$33),"-")</f>
        <v>-</v>
      </c>
      <c r="C79" s="500"/>
      <c r="D79" s="628">
        <v>0</v>
      </c>
      <c r="E79" s="343">
        <v>0</v>
      </c>
      <c r="F79" s="343">
        <v>0</v>
      </c>
      <c r="G79" s="343">
        <v>0</v>
      </c>
      <c r="H79" s="62">
        <f t="shared" si="24"/>
        <v>0</v>
      </c>
      <c r="I79" s="62">
        <f t="shared" si="25"/>
        <v>0</v>
      </c>
      <c r="J79" s="2"/>
      <c r="K79" s="197"/>
      <c r="L79" s="2"/>
    </row>
    <row r="80" spans="1:12" x14ac:dyDescent="0.3">
      <c r="A80" s="116" t="s">
        <v>448</v>
      </c>
      <c r="B80" s="310" t="str">
        <f>IFERROR(I80/(I$16+I$25+I$34),"-")</f>
        <v>-</v>
      </c>
      <c r="C80" s="500"/>
      <c r="D80" s="628">
        <v>0</v>
      </c>
      <c r="E80" s="343">
        <v>0</v>
      </c>
      <c r="F80" s="343">
        <v>0</v>
      </c>
      <c r="G80" s="343">
        <v>0</v>
      </c>
      <c r="H80" s="62">
        <f t="shared" si="24"/>
        <v>0</v>
      </c>
      <c r="I80" s="62">
        <f t="shared" si="25"/>
        <v>0</v>
      </c>
      <c r="J80" s="2"/>
      <c r="K80" s="197"/>
      <c r="L80" s="2"/>
    </row>
    <row r="81" spans="1:12" x14ac:dyDescent="0.3">
      <c r="A81" s="116" t="s">
        <v>351</v>
      </c>
      <c r="B81" s="310">
        <f>IFERROR(I81/(I$17+I$26+I$35),"-")</f>
        <v>0</v>
      </c>
      <c r="C81" s="500"/>
      <c r="D81" s="628">
        <v>0</v>
      </c>
      <c r="E81" s="343">
        <v>0</v>
      </c>
      <c r="F81" s="343">
        <v>0</v>
      </c>
      <c r="G81" s="343">
        <v>0</v>
      </c>
      <c r="H81" s="62">
        <f t="shared" si="24"/>
        <v>0</v>
      </c>
      <c r="I81" s="62">
        <f t="shared" si="25"/>
        <v>0</v>
      </c>
      <c r="J81" s="2"/>
      <c r="K81" s="197"/>
      <c r="L81" s="2"/>
    </row>
    <row r="82" spans="1:12" x14ac:dyDescent="0.3">
      <c r="A82" s="115" t="s">
        <v>182</v>
      </c>
      <c r="B82" s="53"/>
      <c r="C82" s="474"/>
      <c r="D82" s="223">
        <f t="shared" ref="D82" si="41">D83+D88+D89+D90</f>
        <v>1576329.320791458</v>
      </c>
      <c r="E82" s="223">
        <f t="shared" ref="E82" si="42">E83+E88+E89+E90</f>
        <v>1971254.6463736391</v>
      </c>
      <c r="F82" s="223">
        <f t="shared" ref="F82:G82" si="43">F83+F88+F89+F90</f>
        <v>1685361.2636696191</v>
      </c>
      <c r="G82" s="223">
        <f t="shared" si="43"/>
        <v>2274095.7990164803</v>
      </c>
      <c r="H82" s="300">
        <f t="shared" si="24"/>
        <v>1876760.2574627991</v>
      </c>
      <c r="I82" s="300">
        <f t="shared" si="25"/>
        <v>7507041.0298511963</v>
      </c>
      <c r="J82" s="2"/>
      <c r="K82" s="462" t="s">
        <v>295</v>
      </c>
      <c r="L82" s="2"/>
    </row>
    <row r="83" spans="1:12" x14ac:dyDescent="0.3">
      <c r="A83" s="116" t="s">
        <v>347</v>
      </c>
      <c r="B83" s="310">
        <f>IFERROR(I83/(I$10+I$19+I$28),"-")</f>
        <v>0.20773646061163312</v>
      </c>
      <c r="C83" s="499"/>
      <c r="D83" s="297">
        <f t="shared" ref="D83:G83" si="44">SUM(D84:D87)</f>
        <v>1568981.5597671191</v>
      </c>
      <c r="E83" s="297">
        <f t="shared" si="44"/>
        <v>1964455.338900839</v>
      </c>
      <c r="F83" s="297">
        <f t="shared" ref="F83" si="45">SUM(F84:F87)</f>
        <v>1677842.1076743356</v>
      </c>
      <c r="G83" s="297">
        <f t="shared" si="44"/>
        <v>2265967.4261175892</v>
      </c>
      <c r="H83" s="62">
        <f t="shared" si="24"/>
        <v>1869311.6081149708</v>
      </c>
      <c r="I83" s="62">
        <f t="shared" si="25"/>
        <v>7477246.4324598834</v>
      </c>
      <c r="J83" s="2"/>
      <c r="K83" s="189"/>
      <c r="L83" s="2"/>
    </row>
    <row r="84" spans="1:12" x14ac:dyDescent="0.3">
      <c r="A84" s="36" t="s">
        <v>348</v>
      </c>
      <c r="B84" s="37">
        <f>IFERROR(I84/(I$11+I$20+I$29),"-")</f>
        <v>0.20533732016170511</v>
      </c>
      <c r="C84" s="497"/>
      <c r="D84" s="320">
        <v>968759.57874803129</v>
      </c>
      <c r="E84" s="320">
        <v>1298463.2107420613</v>
      </c>
      <c r="F84" s="553">
        <v>1112871.0599615031</v>
      </c>
      <c r="G84" s="553">
        <v>1641502.3416990016</v>
      </c>
      <c r="H84" s="10">
        <f t="shared" si="24"/>
        <v>1255399.0477876493</v>
      </c>
      <c r="I84" s="39">
        <f t="shared" si="25"/>
        <v>5021596.1911505973</v>
      </c>
      <c r="J84" s="2"/>
      <c r="K84" s="188"/>
      <c r="L84" s="2"/>
    </row>
    <row r="85" spans="1:12" ht="13.15" customHeight="1" x14ac:dyDescent="0.3">
      <c r="A85" s="36" t="s">
        <v>349</v>
      </c>
      <c r="B85" s="37">
        <f>IFERROR(I85/(I$12+I$21+I$30),"-")</f>
        <v>0.20585267045646286</v>
      </c>
      <c r="C85" s="497"/>
      <c r="D85" s="319">
        <v>455586.00022846437</v>
      </c>
      <c r="E85" s="319">
        <v>642765.67486186256</v>
      </c>
      <c r="F85" s="553">
        <v>461257.6952046933</v>
      </c>
      <c r="G85" s="553">
        <v>611913.89485503722</v>
      </c>
      <c r="H85" s="520">
        <f t="shared" si="24"/>
        <v>542880.8162875144</v>
      </c>
      <c r="I85" s="39">
        <f t="shared" si="25"/>
        <v>2171523.2651500576</v>
      </c>
      <c r="J85" s="2"/>
      <c r="K85" s="189"/>
      <c r="L85" s="2"/>
    </row>
    <row r="86" spans="1:12" x14ac:dyDescent="0.3">
      <c r="A86" s="36" t="s">
        <v>350</v>
      </c>
      <c r="B86" s="37">
        <f>IFERROR(I86/(I$13+I$22+I$31),"-")</f>
        <v>0.28710289180251108</v>
      </c>
      <c r="C86" s="497"/>
      <c r="D86" s="319">
        <v>144635.98079062355</v>
      </c>
      <c r="E86" s="319">
        <v>23226.453296915213</v>
      </c>
      <c r="F86" s="553">
        <v>103713.35250813907</v>
      </c>
      <c r="G86" s="553">
        <v>12551.189563550626</v>
      </c>
      <c r="H86" s="520">
        <f t="shared" si="24"/>
        <v>71031.744039807119</v>
      </c>
      <c r="I86" s="39">
        <f t="shared" si="25"/>
        <v>284126.97615922848</v>
      </c>
      <c r="J86" s="2"/>
      <c r="K86" s="189"/>
      <c r="L86" s="2"/>
    </row>
    <row r="87" spans="1:12" x14ac:dyDescent="0.3">
      <c r="A87" s="36" t="s">
        <v>446</v>
      </c>
      <c r="B87" s="37" t="str">
        <f>IFERROR(I87/(I$14+I$23+I$32),"-")</f>
        <v>-</v>
      </c>
      <c r="C87" s="497"/>
      <c r="D87" s="319">
        <v>0</v>
      </c>
      <c r="E87" s="319">
        <v>0</v>
      </c>
      <c r="F87" s="553">
        <v>0</v>
      </c>
      <c r="G87" s="553">
        <v>0</v>
      </c>
      <c r="H87" s="520">
        <f t="shared" si="24"/>
        <v>0</v>
      </c>
      <c r="I87" s="39">
        <f t="shared" si="25"/>
        <v>0</v>
      </c>
      <c r="J87" s="2"/>
      <c r="K87" s="189"/>
      <c r="L87" s="2"/>
    </row>
    <row r="88" spans="1:12" x14ac:dyDescent="0.3">
      <c r="A88" s="116" t="s">
        <v>316</v>
      </c>
      <c r="B88" s="310" t="str">
        <f>IFERROR(I88/(I$15+I$24+I$33),"-")</f>
        <v>-</v>
      </c>
      <c r="C88" s="500"/>
      <c r="D88" s="343">
        <v>0</v>
      </c>
      <c r="E88" s="343">
        <v>0</v>
      </c>
      <c r="F88" s="343">
        <v>0</v>
      </c>
      <c r="G88" s="343">
        <v>0</v>
      </c>
      <c r="H88" s="62">
        <f t="shared" si="24"/>
        <v>0</v>
      </c>
      <c r="I88" s="62">
        <f t="shared" si="25"/>
        <v>0</v>
      </c>
      <c r="J88" s="2"/>
      <c r="K88" s="197"/>
      <c r="L88" s="2"/>
    </row>
    <row r="89" spans="1:12" x14ac:dyDescent="0.3">
      <c r="A89" s="116" t="s">
        <v>448</v>
      </c>
      <c r="B89" s="310" t="str">
        <f>IFERROR(I89/(I$16+I$25+I$34),"-")</f>
        <v>-</v>
      </c>
      <c r="C89" s="500"/>
      <c r="D89" s="343">
        <v>0</v>
      </c>
      <c r="E89" s="343">
        <v>0</v>
      </c>
      <c r="F89" s="343">
        <v>0</v>
      </c>
      <c r="G89" s="343">
        <v>0</v>
      </c>
      <c r="H89" s="62">
        <f t="shared" si="24"/>
        <v>0</v>
      </c>
      <c r="I89" s="62">
        <f t="shared" si="25"/>
        <v>0</v>
      </c>
      <c r="J89" s="2"/>
      <c r="K89" s="197"/>
      <c r="L89" s="2"/>
    </row>
    <row r="90" spans="1:12" x14ac:dyDescent="0.3">
      <c r="A90" s="116" t="s">
        <v>351</v>
      </c>
      <c r="B90" s="310">
        <f>IFERROR(I90/(I$17+I$26+I$35),"-")</f>
        <v>2.2334650194691965E-2</v>
      </c>
      <c r="C90" s="500"/>
      <c r="D90" s="343">
        <v>7347.7610243387999</v>
      </c>
      <c r="E90" s="343">
        <v>6799.3074728001802</v>
      </c>
      <c r="F90" s="343">
        <v>7519.1559952835523</v>
      </c>
      <c r="G90" s="343">
        <v>8128.3728988908751</v>
      </c>
      <c r="H90" s="62">
        <f t="shared" si="24"/>
        <v>7448.6493478283519</v>
      </c>
      <c r="I90" s="62">
        <f t="shared" si="25"/>
        <v>29794.597391313408</v>
      </c>
      <c r="J90" s="2"/>
      <c r="K90" s="197"/>
      <c r="L90" s="2"/>
    </row>
    <row r="91" spans="1:12" x14ac:dyDescent="0.3">
      <c r="A91" s="115" t="s">
        <v>183</v>
      </c>
      <c r="B91" s="53"/>
      <c r="C91" s="474"/>
      <c r="D91" s="223">
        <f t="shared" ref="D91" si="46">D92+D97+D98+D99</f>
        <v>2159506.3617564295</v>
      </c>
      <c r="E91" s="223">
        <f t="shared" ref="E91" si="47">E92+E97+E98+E99</f>
        <v>2152022.0792936487</v>
      </c>
      <c r="F91" s="223">
        <f t="shared" ref="F91:G91" si="48">F92+F97+F98+F99</f>
        <v>2126137.1312688394</v>
      </c>
      <c r="G91" s="223">
        <f t="shared" si="48"/>
        <v>2126776.0891006826</v>
      </c>
      <c r="H91" s="300">
        <f t="shared" si="24"/>
        <v>2141110.4153549001</v>
      </c>
      <c r="I91" s="300">
        <f t="shared" si="25"/>
        <v>8564441.6614196002</v>
      </c>
      <c r="J91" s="2"/>
      <c r="K91" s="462" t="s">
        <v>427</v>
      </c>
      <c r="L91" s="2"/>
    </row>
    <row r="92" spans="1:12" x14ac:dyDescent="0.3">
      <c r="A92" s="116" t="s">
        <v>347</v>
      </c>
      <c r="B92" s="310">
        <f>IFERROR(I92/(I$10+I$19+I$28),"-")</f>
        <v>0.23778527615423373</v>
      </c>
      <c r="C92" s="499"/>
      <c r="D92" s="297">
        <f t="shared" ref="D92:G92" si="49">SUM(D93:D96)</f>
        <v>2157948.1545057185</v>
      </c>
      <c r="E92" s="297">
        <f t="shared" si="49"/>
        <v>2151417.7965750881</v>
      </c>
      <c r="F92" s="297">
        <f t="shared" ref="F92" si="50">SUM(F93:F96)</f>
        <v>2124480.9737821058</v>
      </c>
      <c r="G92" s="297">
        <f t="shared" si="49"/>
        <v>2124973.7202028325</v>
      </c>
      <c r="H92" s="62">
        <f t="shared" si="24"/>
        <v>2139705.1612664359</v>
      </c>
      <c r="I92" s="62">
        <f t="shared" si="25"/>
        <v>8558820.6450657435</v>
      </c>
      <c r="J92" s="2"/>
      <c r="K92" s="189"/>
      <c r="L92" s="2"/>
    </row>
    <row r="93" spans="1:12" x14ac:dyDescent="0.3">
      <c r="A93" s="36" t="s">
        <v>348</v>
      </c>
      <c r="B93" s="37">
        <f>IFERROR(I93/(I$11+I$20+I$29),"-")</f>
        <v>0.23350783364318869</v>
      </c>
      <c r="C93" s="497"/>
      <c r="D93" s="320">
        <v>1330189.6373293968</v>
      </c>
      <c r="E93" s="320">
        <v>1423818.0590924292</v>
      </c>
      <c r="F93" s="553">
        <v>1411291.7783543665</v>
      </c>
      <c r="G93" s="553">
        <v>1545216.5049933114</v>
      </c>
      <c r="H93" s="10">
        <f t="shared" si="24"/>
        <v>1427628.9949423759</v>
      </c>
      <c r="I93" s="39">
        <f t="shared" si="25"/>
        <v>5710515.9797695037</v>
      </c>
      <c r="J93" s="2"/>
      <c r="K93" s="188"/>
      <c r="L93" s="2"/>
    </row>
    <row r="94" spans="1:12" ht="13.15" customHeight="1" x14ac:dyDescent="0.3">
      <c r="A94" s="36" t="s">
        <v>349</v>
      </c>
      <c r="B94" s="37">
        <f>IFERROR(I94/(I$12+I$21+I$30),"-")</f>
        <v>0.23471178565757575</v>
      </c>
      <c r="C94" s="497"/>
      <c r="D94" s="319">
        <v>622725.55910030182</v>
      </c>
      <c r="E94" s="319">
        <v>704051.61009875324</v>
      </c>
      <c r="F94" s="553">
        <v>579184.38786515512</v>
      </c>
      <c r="G94" s="553">
        <v>569994.19337690668</v>
      </c>
      <c r="H94" s="520">
        <f t="shared" si="24"/>
        <v>618988.93761027919</v>
      </c>
      <c r="I94" s="39">
        <f t="shared" si="25"/>
        <v>2475955.7504411167</v>
      </c>
      <c r="J94" s="2"/>
      <c r="K94" s="189"/>
      <c r="L94" s="2"/>
    </row>
    <row r="95" spans="1:12" x14ac:dyDescent="0.3">
      <c r="A95" s="36" t="s">
        <v>350</v>
      </c>
      <c r="B95" s="37">
        <f>IFERROR(I95/(I$13+I$22+I$31),"-")</f>
        <v>0.37624885767454708</v>
      </c>
      <c r="C95" s="497"/>
      <c r="D95" s="319">
        <v>205032.95807601957</v>
      </c>
      <c r="E95" s="319">
        <v>23548.127383905579</v>
      </c>
      <c r="F95" s="553">
        <v>134004.8075625842</v>
      </c>
      <c r="G95" s="553">
        <v>9763.0218326143477</v>
      </c>
      <c r="H95" s="520">
        <f t="shared" si="24"/>
        <v>93087.228713780918</v>
      </c>
      <c r="I95" s="39">
        <f t="shared" si="25"/>
        <v>372348.91485512367</v>
      </c>
      <c r="J95" s="2"/>
      <c r="K95" s="189"/>
      <c r="L95" s="2"/>
    </row>
    <row r="96" spans="1:12" x14ac:dyDescent="0.3">
      <c r="A96" s="36" t="s">
        <v>446</v>
      </c>
      <c r="B96" s="37" t="str">
        <f>IFERROR(I96/(I$14+I$23+I$32),"-")</f>
        <v>-</v>
      </c>
      <c r="C96" s="497"/>
      <c r="D96" s="319">
        <v>0</v>
      </c>
      <c r="E96" s="319">
        <v>0</v>
      </c>
      <c r="F96" s="553">
        <v>0</v>
      </c>
      <c r="G96" s="553">
        <v>0</v>
      </c>
      <c r="H96" s="520">
        <f t="shared" si="24"/>
        <v>0</v>
      </c>
      <c r="I96" s="39">
        <f t="shared" si="25"/>
        <v>0</v>
      </c>
      <c r="J96" s="2"/>
      <c r="K96" s="189"/>
      <c r="L96" s="2"/>
    </row>
    <row r="97" spans="1:12" x14ac:dyDescent="0.3">
      <c r="A97" s="116" t="s">
        <v>316</v>
      </c>
      <c r="B97" s="310" t="str">
        <f>IFERROR(I97/(I$15+I$24+I$33),"-")</f>
        <v>-</v>
      </c>
      <c r="C97" s="500"/>
      <c r="D97" s="343">
        <v>0</v>
      </c>
      <c r="E97" s="343">
        <v>0</v>
      </c>
      <c r="F97" s="343">
        <v>0</v>
      </c>
      <c r="G97" s="343">
        <v>0</v>
      </c>
      <c r="H97" s="62">
        <f t="shared" si="24"/>
        <v>0</v>
      </c>
      <c r="I97" s="62">
        <f t="shared" si="25"/>
        <v>0</v>
      </c>
      <c r="J97" s="2"/>
      <c r="K97" s="197"/>
      <c r="L97" s="2"/>
    </row>
    <row r="98" spans="1:12" x14ac:dyDescent="0.3">
      <c r="A98" s="116" t="s">
        <v>448</v>
      </c>
      <c r="B98" s="310" t="str">
        <f>IFERROR(I98/(I$16+I$25+I$34),"-")</f>
        <v>-</v>
      </c>
      <c r="C98" s="500"/>
      <c r="D98" s="343">
        <v>0</v>
      </c>
      <c r="E98" s="343">
        <v>0</v>
      </c>
      <c r="F98" s="343">
        <v>0</v>
      </c>
      <c r="G98" s="343">
        <v>0</v>
      </c>
      <c r="H98" s="62">
        <f t="shared" si="24"/>
        <v>0</v>
      </c>
      <c r="I98" s="62">
        <f t="shared" si="25"/>
        <v>0</v>
      </c>
      <c r="J98" s="2"/>
      <c r="K98" s="197"/>
      <c r="L98" s="2"/>
    </row>
    <row r="99" spans="1:12" x14ac:dyDescent="0.3">
      <c r="A99" s="116" t="s">
        <v>351</v>
      </c>
      <c r="B99" s="310">
        <f>IFERROR(I99/(I$17+I$26+I$35),"-")</f>
        <v>4.2136308255204293E-3</v>
      </c>
      <c r="C99" s="500"/>
      <c r="D99" s="343">
        <v>1558.2072507111643</v>
      </c>
      <c r="E99" s="343">
        <v>604.28271856088566</v>
      </c>
      <c r="F99" s="343">
        <v>1656.1574867335892</v>
      </c>
      <c r="G99" s="343">
        <v>1802.3688978500077</v>
      </c>
      <c r="H99" s="62">
        <f t="shared" si="24"/>
        <v>1405.2540884639118</v>
      </c>
      <c r="I99" s="62">
        <f t="shared" si="25"/>
        <v>5621.0163538556471</v>
      </c>
      <c r="J99" s="2"/>
      <c r="K99" s="197"/>
      <c r="L99" s="2"/>
    </row>
    <row r="100" spans="1:12" x14ac:dyDescent="0.3">
      <c r="A100" s="115" t="s">
        <v>426</v>
      </c>
      <c r="B100" s="53"/>
      <c r="C100" s="474"/>
      <c r="D100" s="223">
        <f>D101+D106+D107+D108</f>
        <v>332745.67572446505</v>
      </c>
      <c r="E100" s="223">
        <f t="shared" ref="E100:G100" si="51">E101+E106+E107+E108</f>
        <v>427544.54924337741</v>
      </c>
      <c r="F100" s="223">
        <f t="shared" ref="F100" si="52">F101+F106+F107+F108</f>
        <v>361593.69432255608</v>
      </c>
      <c r="G100" s="223">
        <f t="shared" si="51"/>
        <v>514063.70976939262</v>
      </c>
      <c r="H100" s="300">
        <f t="shared" ref="H100:H108" si="53">IFERROR(AVERAGE(C100:G100),0)</f>
        <v>408986.90726494777</v>
      </c>
      <c r="I100" s="300">
        <f t="shared" ref="I100:I108" si="54">SUM(C100:G100)</f>
        <v>1635947.6290597911</v>
      </c>
      <c r="J100" s="2"/>
      <c r="K100" s="462" t="s">
        <v>427</v>
      </c>
      <c r="L100" s="2"/>
    </row>
    <row r="101" spans="1:12" x14ac:dyDescent="0.3">
      <c r="A101" s="116" t="s">
        <v>347</v>
      </c>
      <c r="B101" s="310">
        <f>IFERROR(I101/(I$10+I$19+I$28),"-")</f>
        <v>4.4400150815880023E-2</v>
      </c>
      <c r="C101" s="499"/>
      <c r="D101" s="297">
        <f>SUM(D102:D105)</f>
        <v>324315.16335646005</v>
      </c>
      <c r="E101" s="297">
        <f t="shared" ref="E101:G101" si="55">SUM(E102:E105)</f>
        <v>423264.68539449858</v>
      </c>
      <c r="F101" s="297">
        <f t="shared" ref="F101" si="56">SUM(F102:F105)</f>
        <v>351722.90376682091</v>
      </c>
      <c r="G101" s="297">
        <f t="shared" si="55"/>
        <v>498832.05882562883</v>
      </c>
      <c r="H101" s="62">
        <f t="shared" si="53"/>
        <v>399533.70283585211</v>
      </c>
      <c r="I101" s="62">
        <f t="shared" si="54"/>
        <v>1598134.8113434084</v>
      </c>
      <c r="J101" s="2"/>
      <c r="K101" s="189"/>
      <c r="L101" s="2"/>
    </row>
    <row r="102" spans="1:12" x14ac:dyDescent="0.3">
      <c r="A102" s="36" t="s">
        <v>348</v>
      </c>
      <c r="B102" s="37">
        <f>IFERROR(I102/(I$11+I$20+I$29),"-")</f>
        <v>4.4015555681580325E-2</v>
      </c>
      <c r="C102" s="497"/>
      <c r="D102" s="320">
        <v>199912.43470090078</v>
      </c>
      <c r="E102" s="320">
        <v>280118.48921215761</v>
      </c>
      <c r="F102" s="553">
        <v>233649.37058549031</v>
      </c>
      <c r="G102" s="553">
        <v>362735.55912191782</v>
      </c>
      <c r="H102" s="10">
        <f t="shared" si="53"/>
        <v>269103.96340511658</v>
      </c>
      <c r="I102" s="39">
        <f t="shared" si="54"/>
        <v>1076415.8536204663</v>
      </c>
      <c r="J102" s="2"/>
      <c r="K102" s="188"/>
      <c r="L102" s="2"/>
    </row>
    <row r="103" spans="1:12" ht="13.15" customHeight="1" x14ac:dyDescent="0.3">
      <c r="A103" s="36" t="s">
        <v>349</v>
      </c>
      <c r="B103" s="37">
        <f>IFERROR(I103/(I$12+I$21+I$30),"-")</f>
        <v>4.3776495898137952E-2</v>
      </c>
      <c r="C103" s="497"/>
      <c r="D103" s="319">
        <v>93588.59757783034</v>
      </c>
      <c r="E103" s="319">
        <v>138513.39508501565</v>
      </c>
      <c r="F103" s="553">
        <v>95888.086186849716</v>
      </c>
      <c r="G103" s="553">
        <v>133804.65569885538</v>
      </c>
      <c r="H103" s="520">
        <f t="shared" si="53"/>
        <v>115448.68363713779</v>
      </c>
      <c r="I103" s="39">
        <f t="shared" si="54"/>
        <v>461794.73454855115</v>
      </c>
      <c r="J103" s="2"/>
      <c r="K103" s="189"/>
      <c r="L103" s="2"/>
    </row>
    <row r="104" spans="1:12" x14ac:dyDescent="0.3">
      <c r="A104" s="36" t="s">
        <v>350</v>
      </c>
      <c r="B104" s="37">
        <f>IFERROR(I104/(I$13+I$22+I$31),"-")</f>
        <v>6.0551863096396333E-2</v>
      </c>
      <c r="C104" s="497"/>
      <c r="D104" s="319">
        <v>30814.131077728958</v>
      </c>
      <c r="E104" s="319">
        <v>4632.8010973253622</v>
      </c>
      <c r="F104" s="553">
        <v>22185.446994480935</v>
      </c>
      <c r="G104" s="553">
        <v>2291.8440048556085</v>
      </c>
      <c r="H104" s="520">
        <f t="shared" si="53"/>
        <v>14981.055793597716</v>
      </c>
      <c r="I104" s="39">
        <f t="shared" si="54"/>
        <v>59924.223174390863</v>
      </c>
      <c r="J104" s="2"/>
      <c r="K104" s="189"/>
      <c r="L104" s="2"/>
    </row>
    <row r="105" spans="1:12" x14ac:dyDescent="0.3">
      <c r="A105" s="36" t="s">
        <v>446</v>
      </c>
      <c r="B105" s="37" t="str">
        <f>IFERROR(I105/(I$14+I$23+I$32),"-")</f>
        <v>-</v>
      </c>
      <c r="C105" s="497"/>
      <c r="D105" s="319">
        <v>0</v>
      </c>
      <c r="E105" s="319">
        <v>0</v>
      </c>
      <c r="F105" s="553">
        <v>0</v>
      </c>
      <c r="G105" s="553">
        <v>0</v>
      </c>
      <c r="H105" s="520">
        <f t="shared" si="53"/>
        <v>0</v>
      </c>
      <c r="I105" s="39">
        <f t="shared" si="54"/>
        <v>0</v>
      </c>
      <c r="J105" s="2"/>
      <c r="K105" s="189"/>
      <c r="L105" s="2"/>
    </row>
    <row r="106" spans="1:12" x14ac:dyDescent="0.3">
      <c r="A106" s="116" t="s">
        <v>316</v>
      </c>
      <c r="B106" s="310" t="str">
        <f>IFERROR(I106/(I$15+I$24+I$33),"-")</f>
        <v>-</v>
      </c>
      <c r="C106" s="500"/>
      <c r="D106" s="343">
        <v>0</v>
      </c>
      <c r="E106" s="343">
        <v>0</v>
      </c>
      <c r="F106" s="343">
        <v>0</v>
      </c>
      <c r="G106" s="343">
        <v>0</v>
      </c>
      <c r="H106" s="62">
        <f t="shared" si="53"/>
        <v>0</v>
      </c>
      <c r="I106" s="62">
        <f t="shared" si="54"/>
        <v>0</v>
      </c>
      <c r="J106" s="2"/>
      <c r="K106" s="197"/>
      <c r="L106" s="2"/>
    </row>
    <row r="107" spans="1:12" x14ac:dyDescent="0.3">
      <c r="A107" s="116" t="s">
        <v>448</v>
      </c>
      <c r="B107" s="310" t="str">
        <f>IFERROR(I107/(I$16+I$25+I$34),"-")</f>
        <v>-</v>
      </c>
      <c r="C107" s="500"/>
      <c r="D107" s="343">
        <v>0</v>
      </c>
      <c r="E107" s="343">
        <v>0</v>
      </c>
      <c r="F107" s="343">
        <v>0</v>
      </c>
      <c r="G107" s="343">
        <v>0</v>
      </c>
      <c r="H107" s="62">
        <f t="shared" si="53"/>
        <v>0</v>
      </c>
      <c r="I107" s="62">
        <f t="shared" si="54"/>
        <v>0</v>
      </c>
      <c r="J107" s="2"/>
      <c r="K107" s="197"/>
      <c r="L107" s="2"/>
    </row>
    <row r="108" spans="1:12" x14ac:dyDescent="0.3">
      <c r="A108" s="116" t="s">
        <v>351</v>
      </c>
      <c r="B108" s="310">
        <f>IFERROR(I108/(I$17+I$26+I$35),"-")</f>
        <v>2.8345275E-2</v>
      </c>
      <c r="C108" s="500"/>
      <c r="D108" s="343">
        <v>8430.5123680050019</v>
      </c>
      <c r="E108" s="343">
        <v>4279.863848878801</v>
      </c>
      <c r="F108" s="343">
        <v>9870.7905557352042</v>
      </c>
      <c r="G108" s="343">
        <v>15231.650943763801</v>
      </c>
      <c r="H108" s="62">
        <f t="shared" si="53"/>
        <v>9453.2044290957019</v>
      </c>
      <c r="I108" s="62">
        <f t="shared" si="54"/>
        <v>37812.817716382808</v>
      </c>
      <c r="J108" s="2"/>
      <c r="K108" s="197"/>
      <c r="L108" s="2"/>
    </row>
    <row r="109" spans="1:12" x14ac:dyDescent="0.3">
      <c r="A109" s="18" t="s">
        <v>7</v>
      </c>
      <c r="B109" s="165">
        <f>IFERROR(I109/I$36,"-")</f>
        <v>0.86856164695695337</v>
      </c>
      <c r="C109" s="476"/>
      <c r="D109" s="19">
        <f>D55+D64+D73+D82+D91+D100</f>
        <v>7852107.4201132692</v>
      </c>
      <c r="E109" s="19">
        <f t="shared" ref="E109:G109" si="57">E55+E64+E73+E82+E91+E100</f>
        <v>8244175.045804617</v>
      </c>
      <c r="F109" s="19">
        <f t="shared" ref="F109" si="58">F55+F64+F73+F82+F91+F100</f>
        <v>7821937.7196813431</v>
      </c>
      <c r="G109" s="19">
        <f t="shared" si="57"/>
        <v>8503373.2439147066</v>
      </c>
      <c r="H109" s="20">
        <f t="shared" si="24"/>
        <v>8105398.3573784847</v>
      </c>
      <c r="I109" s="35">
        <f t="shared" si="25"/>
        <v>32421593.429513939</v>
      </c>
      <c r="J109" s="2"/>
      <c r="K109" s="197"/>
      <c r="L109" s="2"/>
    </row>
    <row r="110" spans="1:12" x14ac:dyDescent="0.3">
      <c r="C110" s="2"/>
      <c r="D110" s="2"/>
      <c r="E110" s="2"/>
      <c r="F110" s="2"/>
      <c r="G110" s="2"/>
      <c r="H110" s="2"/>
      <c r="I110" s="2"/>
      <c r="J110" s="2"/>
      <c r="K110" s="2"/>
      <c r="L110" s="2"/>
    </row>
    <row r="111" spans="1:12" x14ac:dyDescent="0.3">
      <c r="C111" s="2"/>
      <c r="D111" s="2"/>
      <c r="E111" s="2"/>
      <c r="F111" s="2"/>
      <c r="G111" s="2"/>
      <c r="H111" s="2"/>
      <c r="I111" s="2"/>
      <c r="J111" s="2"/>
      <c r="K111" s="2"/>
      <c r="L111" s="2"/>
    </row>
    <row r="112" spans="1:12" ht="27.65" customHeight="1" x14ac:dyDescent="0.3">
      <c r="A112" s="655" t="s">
        <v>337</v>
      </c>
      <c r="B112" s="655" t="s">
        <v>338</v>
      </c>
      <c r="C112" s="3" t="str">
        <f>Annee0</f>
        <v>Année 0</v>
      </c>
      <c r="D112" s="3" t="str">
        <f>Annee1</f>
        <v>Année 1</v>
      </c>
      <c r="E112" s="3" t="str">
        <f>Annee2</f>
        <v>Année 2</v>
      </c>
      <c r="F112" s="516" t="str">
        <f>Annee3</f>
        <v>Année 3</v>
      </c>
      <c r="G112" s="541" t="str">
        <f>Annee4</f>
        <v>Année 4</v>
      </c>
      <c r="H112" s="181" t="s">
        <v>256</v>
      </c>
      <c r="I112" s="4" t="s">
        <v>59</v>
      </c>
      <c r="J112" s="2"/>
      <c r="K112" s="661" t="s">
        <v>290</v>
      </c>
      <c r="L112" s="2"/>
    </row>
    <row r="113" spans="1:12" ht="14.5" customHeight="1" x14ac:dyDescent="0.3">
      <c r="A113" s="656"/>
      <c r="B113" s="656"/>
      <c r="C113" s="77">
        <v>12</v>
      </c>
      <c r="D113" s="77">
        <v>12</v>
      </c>
      <c r="E113" s="77">
        <v>12</v>
      </c>
      <c r="F113" s="77">
        <v>12</v>
      </c>
      <c r="G113" s="183">
        <v>12</v>
      </c>
      <c r="H113" s="78">
        <f t="shared" ref="H113:H149" si="59">IFERROR(AVERAGE(C113:G113),0)</f>
        <v>12</v>
      </c>
      <c r="I113" s="78">
        <f t="shared" ref="I113:I149" si="60">SUM(C113:G113)</f>
        <v>60</v>
      </c>
      <c r="J113" s="2"/>
      <c r="K113" s="674"/>
      <c r="L113" s="2"/>
    </row>
    <row r="114" spans="1:12" x14ac:dyDescent="0.3">
      <c r="A114" s="115" t="s">
        <v>68</v>
      </c>
      <c r="B114" s="53"/>
      <c r="C114" s="474"/>
      <c r="D114" s="223">
        <f t="shared" ref="D114" si="61">D115+D120+D121+D122</f>
        <v>650541.64383561665</v>
      </c>
      <c r="E114" s="223">
        <f t="shared" ref="E114" si="62">E115+E120+E121+E122</f>
        <v>650468.49315068498</v>
      </c>
      <c r="F114" s="223">
        <f t="shared" ref="F114:G114" si="63">F115+F120+F121+F122</f>
        <v>650500.87431693997</v>
      </c>
      <c r="G114" s="224">
        <f t="shared" si="63"/>
        <v>652635.89041095902</v>
      </c>
      <c r="H114" s="300">
        <f t="shared" si="59"/>
        <v>651036.72542855027</v>
      </c>
      <c r="I114" s="300">
        <f t="shared" si="60"/>
        <v>2604146.9017142011</v>
      </c>
      <c r="J114" s="2"/>
      <c r="K114" s="462" t="s">
        <v>295</v>
      </c>
      <c r="L114" s="2"/>
    </row>
    <row r="115" spans="1:12" x14ac:dyDescent="0.3">
      <c r="A115" s="116" t="s">
        <v>347</v>
      </c>
      <c r="B115" s="310">
        <f>IFERROR(I115/I$40,"-")</f>
        <v>3660.6239885508171</v>
      </c>
      <c r="C115" s="499"/>
      <c r="D115" s="297">
        <f t="shared" ref="D115:G115" si="64">SUM(D116:D119)</f>
        <v>642621.64383561665</v>
      </c>
      <c r="E115" s="297">
        <f t="shared" si="64"/>
        <v>642548.49315068498</v>
      </c>
      <c r="F115" s="297">
        <f t="shared" ref="F115" si="65">SUM(F116:F119)</f>
        <v>642580.87431693997</v>
      </c>
      <c r="G115" s="296">
        <f t="shared" si="64"/>
        <v>644715.89041095902</v>
      </c>
      <c r="H115" s="62">
        <f t="shared" si="59"/>
        <v>643116.72542855027</v>
      </c>
      <c r="I115" s="62">
        <f t="shared" si="60"/>
        <v>2572466.9017142011</v>
      </c>
      <c r="J115" s="2"/>
      <c r="K115" s="189"/>
      <c r="L115" s="2"/>
    </row>
    <row r="116" spans="1:12" x14ac:dyDescent="0.3">
      <c r="A116" s="36" t="s">
        <v>348</v>
      </c>
      <c r="B116" s="37">
        <f>IFERROR(I116/I$41,"-")</f>
        <v>4005.4173705400717</v>
      </c>
      <c r="C116" s="497"/>
      <c r="D116" s="320">
        <v>447485.47856005578</v>
      </c>
      <c r="E116" s="320">
        <v>450331.06175190263</v>
      </c>
      <c r="F116" s="553">
        <v>452400.34462266864</v>
      </c>
      <c r="G116" s="321">
        <v>453582.77371438884</v>
      </c>
      <c r="H116" s="10">
        <f t="shared" si="59"/>
        <v>450949.91466225393</v>
      </c>
      <c r="I116" s="39">
        <f t="shared" si="60"/>
        <v>1803799.6586490157</v>
      </c>
      <c r="J116" s="2"/>
      <c r="K116" s="188"/>
      <c r="L116" s="2"/>
    </row>
    <row r="117" spans="1:12" ht="13.15" customHeight="1" x14ac:dyDescent="0.3">
      <c r="A117" s="36" t="s">
        <v>349</v>
      </c>
      <c r="B117" s="37">
        <f>IFERROR(I117/I$42,"-")</f>
        <v>3124.0698924182557</v>
      </c>
      <c r="C117" s="497"/>
      <c r="D117" s="319">
        <v>183316.25811099284</v>
      </c>
      <c r="E117" s="319">
        <v>180391.04757275438</v>
      </c>
      <c r="F117" s="553">
        <v>178360.62252970334</v>
      </c>
      <c r="G117" s="321">
        <v>179311.05064484884</v>
      </c>
      <c r="H117" s="39">
        <f t="shared" si="59"/>
        <v>180344.74471457486</v>
      </c>
      <c r="I117" s="39">
        <f t="shared" si="60"/>
        <v>721378.97885829944</v>
      </c>
      <c r="J117" s="2"/>
      <c r="K117" s="189"/>
      <c r="L117" s="2"/>
    </row>
    <row r="118" spans="1:12" x14ac:dyDescent="0.3">
      <c r="A118" s="36" t="s">
        <v>350</v>
      </c>
      <c r="B118" s="37">
        <f>IFERROR(I118/I$43,"-")</f>
        <v>2200.4776271235523</v>
      </c>
      <c r="C118" s="497"/>
      <c r="D118" s="319">
        <v>11819.90716456794</v>
      </c>
      <c r="E118" s="319">
        <v>11826.383826027977</v>
      </c>
      <c r="F118" s="553">
        <v>11819.90716456794</v>
      </c>
      <c r="G118" s="321">
        <v>11822.066051721285</v>
      </c>
      <c r="H118" s="39">
        <f t="shared" si="59"/>
        <v>11822.066051721285</v>
      </c>
      <c r="I118" s="39">
        <f t="shared" si="60"/>
        <v>47288.264206885142</v>
      </c>
      <c r="J118" s="2"/>
      <c r="K118" s="189"/>
      <c r="L118" s="2"/>
    </row>
    <row r="119" spans="1:12" x14ac:dyDescent="0.3">
      <c r="A119" s="36" t="s">
        <v>446</v>
      </c>
      <c r="B119" s="37" t="str">
        <f>IFERROR(I119/I$44,"-")</f>
        <v>-</v>
      </c>
      <c r="C119" s="497"/>
      <c r="D119" s="319">
        <v>0</v>
      </c>
      <c r="E119" s="319">
        <v>0</v>
      </c>
      <c r="F119" s="553">
        <v>0</v>
      </c>
      <c r="G119" s="321">
        <v>0</v>
      </c>
      <c r="H119" s="39">
        <f t="shared" si="59"/>
        <v>0</v>
      </c>
      <c r="I119" s="39">
        <f t="shared" si="60"/>
        <v>0</v>
      </c>
      <c r="J119" s="2"/>
      <c r="K119" s="189"/>
      <c r="L119" s="2"/>
    </row>
    <row r="120" spans="1:12" x14ac:dyDescent="0.3">
      <c r="A120" s="116" t="s">
        <v>316</v>
      </c>
      <c r="B120" s="310" t="str">
        <f>IFERROR(I120/I$45,"-")</f>
        <v>-</v>
      </c>
      <c r="C120" s="500"/>
      <c r="D120" s="343">
        <v>0</v>
      </c>
      <c r="E120" s="343">
        <v>0</v>
      </c>
      <c r="F120" s="343">
        <v>0</v>
      </c>
      <c r="G120" s="344">
        <v>0</v>
      </c>
      <c r="H120" s="62">
        <f t="shared" si="59"/>
        <v>0</v>
      </c>
      <c r="I120" s="62">
        <f t="shared" si="60"/>
        <v>0</v>
      </c>
      <c r="J120" s="2"/>
      <c r="K120" s="197"/>
      <c r="L120" s="2"/>
    </row>
    <row r="121" spans="1:12" x14ac:dyDescent="0.3">
      <c r="A121" s="116" t="s">
        <v>448</v>
      </c>
      <c r="B121" s="310" t="str">
        <f>IFERROR(I121/I$46,"-")</f>
        <v>-</v>
      </c>
      <c r="C121" s="500"/>
      <c r="D121" s="343">
        <v>0</v>
      </c>
      <c r="E121" s="343">
        <v>0</v>
      </c>
      <c r="F121" s="343">
        <v>0</v>
      </c>
      <c r="G121" s="344">
        <v>0</v>
      </c>
      <c r="H121" s="62">
        <f t="shared" si="59"/>
        <v>0</v>
      </c>
      <c r="I121" s="62">
        <f t="shared" si="60"/>
        <v>0</v>
      </c>
      <c r="J121" s="2"/>
      <c r="K121" s="197"/>
      <c r="L121" s="2"/>
    </row>
    <row r="122" spans="1:12" x14ac:dyDescent="0.3">
      <c r="A122" s="116" t="s">
        <v>351</v>
      </c>
      <c r="B122" s="310">
        <f>IFERROR(I122/I$47,"-")</f>
        <v>720</v>
      </c>
      <c r="C122" s="500"/>
      <c r="D122" s="343">
        <v>7920</v>
      </c>
      <c r="E122" s="343">
        <v>7920</v>
      </c>
      <c r="F122" s="343">
        <v>7920</v>
      </c>
      <c r="G122" s="344">
        <v>7920</v>
      </c>
      <c r="H122" s="62">
        <f t="shared" si="59"/>
        <v>7920</v>
      </c>
      <c r="I122" s="62">
        <f t="shared" si="60"/>
        <v>31680</v>
      </c>
      <c r="J122" s="2"/>
      <c r="K122" s="197"/>
      <c r="L122" s="2"/>
    </row>
    <row r="123" spans="1:12" x14ac:dyDescent="0.3">
      <c r="A123" s="115" t="s">
        <v>70</v>
      </c>
      <c r="B123" s="53"/>
      <c r="C123" s="474"/>
      <c r="D123" s="223">
        <f t="shared" ref="D123" si="66">D124+D129+D130+D131</f>
        <v>0</v>
      </c>
      <c r="E123" s="223">
        <f t="shared" ref="E123" si="67">E124+E129+E130+E131</f>
        <v>0</v>
      </c>
      <c r="F123" s="223">
        <f t="shared" ref="F123:G123" si="68">F124+F129+F130+F131</f>
        <v>0</v>
      </c>
      <c r="G123" s="224">
        <f t="shared" si="68"/>
        <v>0</v>
      </c>
      <c r="H123" s="300">
        <f t="shared" si="59"/>
        <v>0</v>
      </c>
      <c r="I123" s="300">
        <f t="shared" si="60"/>
        <v>0</v>
      </c>
      <c r="J123" s="2"/>
      <c r="K123" s="462" t="s">
        <v>295</v>
      </c>
      <c r="L123" s="2"/>
    </row>
    <row r="124" spans="1:12" x14ac:dyDescent="0.3">
      <c r="A124" s="116" t="s">
        <v>347</v>
      </c>
      <c r="B124" s="310">
        <f t="shared" ref="B124" si="69">IFERROR(I124/I$40,"-")</f>
        <v>0</v>
      </c>
      <c r="C124" s="499"/>
      <c r="D124" s="297">
        <f t="shared" ref="D124:G124" si="70">SUM(D125:D128)</f>
        <v>0</v>
      </c>
      <c r="E124" s="297">
        <f t="shared" si="70"/>
        <v>0</v>
      </c>
      <c r="F124" s="297">
        <f t="shared" ref="F124" si="71">SUM(F125:F128)</f>
        <v>0</v>
      </c>
      <c r="G124" s="296">
        <f t="shared" si="70"/>
        <v>0</v>
      </c>
      <c r="H124" s="62">
        <f t="shared" si="59"/>
        <v>0</v>
      </c>
      <c r="I124" s="62">
        <f t="shared" si="60"/>
        <v>0</v>
      </c>
      <c r="J124" s="2"/>
      <c r="K124" s="189"/>
      <c r="L124" s="2"/>
    </row>
    <row r="125" spans="1:12" x14ac:dyDescent="0.3">
      <c r="A125" s="36" t="s">
        <v>348</v>
      </c>
      <c r="B125" s="37">
        <f t="shared" ref="B125" si="72">IFERROR(I125/I$41,"-")</f>
        <v>0</v>
      </c>
      <c r="C125" s="497"/>
      <c r="D125" s="320">
        <v>0</v>
      </c>
      <c r="E125" s="320">
        <v>0</v>
      </c>
      <c r="F125" s="553">
        <v>0</v>
      </c>
      <c r="G125" s="321">
        <v>0</v>
      </c>
      <c r="H125" s="10">
        <f t="shared" si="59"/>
        <v>0</v>
      </c>
      <c r="I125" s="39">
        <f t="shared" si="60"/>
        <v>0</v>
      </c>
      <c r="J125" s="2"/>
      <c r="K125" s="188"/>
      <c r="L125" s="2"/>
    </row>
    <row r="126" spans="1:12" ht="13.15" customHeight="1" x14ac:dyDescent="0.3">
      <c r="A126" s="36" t="s">
        <v>349</v>
      </c>
      <c r="B126" s="37">
        <f t="shared" ref="B126" si="73">IFERROR(I126/I$42,"-")</f>
        <v>0</v>
      </c>
      <c r="C126" s="497"/>
      <c r="D126" s="319">
        <v>0</v>
      </c>
      <c r="E126" s="319">
        <v>0</v>
      </c>
      <c r="F126" s="553">
        <v>0</v>
      </c>
      <c r="G126" s="321">
        <v>0</v>
      </c>
      <c r="H126" s="39">
        <f t="shared" si="59"/>
        <v>0</v>
      </c>
      <c r="I126" s="39">
        <f t="shared" si="60"/>
        <v>0</v>
      </c>
      <c r="J126" s="2"/>
      <c r="K126" s="189"/>
      <c r="L126" s="2"/>
    </row>
    <row r="127" spans="1:12" x14ac:dyDescent="0.3">
      <c r="A127" s="36" t="s">
        <v>350</v>
      </c>
      <c r="B127" s="37">
        <f t="shared" ref="B127" si="74">IFERROR(I127/I$43,"-")</f>
        <v>0</v>
      </c>
      <c r="C127" s="497"/>
      <c r="D127" s="319">
        <v>0</v>
      </c>
      <c r="E127" s="319">
        <v>0</v>
      </c>
      <c r="F127" s="553">
        <v>0</v>
      </c>
      <c r="G127" s="321">
        <v>0</v>
      </c>
      <c r="H127" s="39">
        <f t="shared" si="59"/>
        <v>0</v>
      </c>
      <c r="I127" s="39">
        <f t="shared" si="60"/>
        <v>0</v>
      </c>
      <c r="J127" s="2"/>
      <c r="K127" s="189"/>
      <c r="L127" s="2"/>
    </row>
    <row r="128" spans="1:12" x14ac:dyDescent="0.3">
      <c r="A128" s="36" t="s">
        <v>446</v>
      </c>
      <c r="B128" s="37" t="str">
        <f t="shared" ref="B128" si="75">IFERROR(I128/I$44,"-")</f>
        <v>-</v>
      </c>
      <c r="C128" s="497"/>
      <c r="D128" s="319">
        <v>0</v>
      </c>
      <c r="E128" s="319">
        <v>0</v>
      </c>
      <c r="F128" s="553">
        <v>0</v>
      </c>
      <c r="G128" s="321">
        <v>0</v>
      </c>
      <c r="H128" s="39">
        <f t="shared" si="59"/>
        <v>0</v>
      </c>
      <c r="I128" s="39">
        <f t="shared" si="60"/>
        <v>0</v>
      </c>
      <c r="J128" s="2"/>
      <c r="K128" s="189"/>
      <c r="L128" s="2"/>
    </row>
    <row r="129" spans="1:12" x14ac:dyDescent="0.3">
      <c r="A129" s="116" t="s">
        <v>316</v>
      </c>
      <c r="B129" s="310" t="str">
        <f t="shared" ref="B129" si="76">IFERROR(I129/I$45,"-")</f>
        <v>-</v>
      </c>
      <c r="C129" s="500"/>
      <c r="D129" s="343">
        <v>0</v>
      </c>
      <c r="E129" s="343">
        <v>0</v>
      </c>
      <c r="F129" s="343">
        <v>0</v>
      </c>
      <c r="G129" s="344">
        <v>0</v>
      </c>
      <c r="H129" s="62">
        <f t="shared" si="59"/>
        <v>0</v>
      </c>
      <c r="I129" s="62">
        <f t="shared" si="60"/>
        <v>0</v>
      </c>
      <c r="J129" s="2"/>
      <c r="K129" s="197"/>
      <c r="L129" s="2"/>
    </row>
    <row r="130" spans="1:12" x14ac:dyDescent="0.3">
      <c r="A130" s="116" t="s">
        <v>448</v>
      </c>
      <c r="B130" s="310" t="str">
        <f>IFERROR(I130/I$46,"-")</f>
        <v>-</v>
      </c>
      <c r="C130" s="500"/>
      <c r="D130" s="343">
        <v>0</v>
      </c>
      <c r="E130" s="343">
        <v>0</v>
      </c>
      <c r="F130" s="343">
        <v>0</v>
      </c>
      <c r="G130" s="344">
        <v>0</v>
      </c>
      <c r="H130" s="62">
        <f t="shared" si="59"/>
        <v>0</v>
      </c>
      <c r="I130" s="62">
        <f t="shared" si="60"/>
        <v>0</v>
      </c>
      <c r="J130" s="2"/>
      <c r="K130" s="197"/>
      <c r="L130" s="2"/>
    </row>
    <row r="131" spans="1:12" x14ac:dyDescent="0.3">
      <c r="A131" s="116" t="s">
        <v>351</v>
      </c>
      <c r="B131" s="310">
        <f>IFERROR(I131/I$47,"-")</f>
        <v>0</v>
      </c>
      <c r="C131" s="500"/>
      <c r="D131" s="343">
        <v>0</v>
      </c>
      <c r="E131" s="343">
        <v>0</v>
      </c>
      <c r="F131" s="343">
        <v>0</v>
      </c>
      <c r="G131" s="344">
        <v>0</v>
      </c>
      <c r="H131" s="62">
        <f t="shared" si="59"/>
        <v>0</v>
      </c>
      <c r="I131" s="62">
        <f t="shared" si="60"/>
        <v>0</v>
      </c>
      <c r="J131" s="2"/>
      <c r="K131" s="197"/>
      <c r="L131" s="2"/>
    </row>
    <row r="132" spans="1:12" x14ac:dyDescent="0.3">
      <c r="A132" s="115" t="s">
        <v>71</v>
      </c>
      <c r="B132" s="53"/>
      <c r="C132" s="474"/>
      <c r="D132" s="223">
        <f t="shared" ref="D132" si="77">D133+D138+D139+D140</f>
        <v>132407.88740201129</v>
      </c>
      <c r="E132" s="223">
        <f t="shared" ref="E132" si="78">E133+E138+E139+E140</f>
        <v>132395.99572412702</v>
      </c>
      <c r="F132" s="223">
        <f t="shared" ref="F132:G132" si="79">F133+F138+F139+F140</f>
        <v>132399.91629552422</v>
      </c>
      <c r="G132" s="224">
        <f t="shared" si="79"/>
        <v>132818.15028901736</v>
      </c>
      <c r="H132" s="300">
        <f t="shared" si="59"/>
        <v>132505.48742766998</v>
      </c>
      <c r="I132" s="300">
        <f t="shared" si="60"/>
        <v>530021.94971067994</v>
      </c>
      <c r="J132" s="2"/>
      <c r="K132" s="462" t="s">
        <v>295</v>
      </c>
      <c r="L132" s="2"/>
    </row>
    <row r="133" spans="1:12" x14ac:dyDescent="0.3">
      <c r="A133" s="116" t="s">
        <v>347</v>
      </c>
      <c r="B133" s="310">
        <f t="shared" ref="B133" si="80">IFERROR(I133/I$40,"-")</f>
        <v>708.92775693316389</v>
      </c>
      <c r="C133" s="499"/>
      <c r="D133" s="297">
        <f t="shared" ref="D133:G133" si="81">SUM(D134:D137)</f>
        <v>124450.37295114422</v>
      </c>
      <c r="E133" s="297">
        <f t="shared" si="81"/>
        <v>124438.48127325997</v>
      </c>
      <c r="F133" s="297">
        <f t="shared" ref="F133" si="82">SUM(F134:F137)</f>
        <v>124442.40184465716</v>
      </c>
      <c r="G133" s="296">
        <f t="shared" si="81"/>
        <v>124860.63583815031</v>
      </c>
      <c r="H133" s="62">
        <f t="shared" si="59"/>
        <v>124547.97297680291</v>
      </c>
      <c r="I133" s="62">
        <f t="shared" si="60"/>
        <v>498191.89190721163</v>
      </c>
      <c r="J133" s="2"/>
      <c r="K133" s="189"/>
      <c r="L133" s="2"/>
    </row>
    <row r="134" spans="1:12" x14ac:dyDescent="0.3">
      <c r="A134" s="36" t="s">
        <v>348</v>
      </c>
      <c r="B134" s="37">
        <f t="shared" ref="B134" si="83">IFERROR(I134/I$41,"-")</f>
        <v>707.83790118349941</v>
      </c>
      <c r="C134" s="497"/>
      <c r="D134" s="320">
        <v>79014.51538576321</v>
      </c>
      <c r="E134" s="320">
        <v>79571.056061827388</v>
      </c>
      <c r="F134" s="553">
        <v>79975.451939014267</v>
      </c>
      <c r="G134" s="321">
        <v>80206.697032372263</v>
      </c>
      <c r="H134" s="10">
        <f t="shared" si="59"/>
        <v>79691.930104744271</v>
      </c>
      <c r="I134" s="39">
        <f t="shared" si="60"/>
        <v>318767.72041897709</v>
      </c>
      <c r="J134" s="2"/>
      <c r="K134" s="188"/>
      <c r="L134" s="2"/>
    </row>
    <row r="135" spans="1:12" ht="13.15" customHeight="1" x14ac:dyDescent="0.3">
      <c r="A135" s="36" t="s">
        <v>349</v>
      </c>
      <c r="B135" s="37">
        <f t="shared" ref="B135" si="84">IFERROR(I135/I$42,"-")</f>
        <v>709.69081800904996</v>
      </c>
      <c r="C135" s="497"/>
      <c r="D135" s="319">
        <v>41549.201281498528</v>
      </c>
      <c r="E135" s="319">
        <v>40978.639252873982</v>
      </c>
      <c r="F135" s="553">
        <v>40580.293621760393</v>
      </c>
      <c r="G135" s="321">
        <v>40766.572630336843</v>
      </c>
      <c r="H135" s="39">
        <f t="shared" si="59"/>
        <v>40968.676696617433</v>
      </c>
      <c r="I135" s="39">
        <f t="shared" si="60"/>
        <v>163874.70678646973</v>
      </c>
      <c r="J135" s="2"/>
      <c r="K135" s="189"/>
      <c r="L135" s="2"/>
    </row>
    <row r="136" spans="1:12" x14ac:dyDescent="0.3">
      <c r="A136" s="36" t="s">
        <v>350</v>
      </c>
      <c r="B136" s="37">
        <f t="shared" ref="B136" si="85">IFERROR(I136/I$43,"-")</f>
        <v>723.56745936550863</v>
      </c>
      <c r="C136" s="497"/>
      <c r="D136" s="319">
        <v>3886.6562838824957</v>
      </c>
      <c r="E136" s="319">
        <v>3888.7859585585957</v>
      </c>
      <c r="F136" s="553">
        <v>3886.6562838824957</v>
      </c>
      <c r="G136" s="321">
        <v>3887.3661754411955</v>
      </c>
      <c r="H136" s="39">
        <f t="shared" si="59"/>
        <v>3887.3661754411955</v>
      </c>
      <c r="I136" s="39">
        <f t="shared" si="60"/>
        <v>15549.464701764782</v>
      </c>
      <c r="J136" s="2"/>
      <c r="K136" s="189"/>
      <c r="L136" s="2"/>
    </row>
    <row r="137" spans="1:12" x14ac:dyDescent="0.3">
      <c r="A137" s="36" t="s">
        <v>446</v>
      </c>
      <c r="B137" s="37" t="str">
        <f t="shared" ref="B137" si="86">IFERROR(I137/I$44,"-")</f>
        <v>-</v>
      </c>
      <c r="C137" s="497"/>
      <c r="D137" s="319">
        <v>0</v>
      </c>
      <c r="E137" s="319">
        <v>0</v>
      </c>
      <c r="F137" s="553">
        <v>0</v>
      </c>
      <c r="G137" s="321">
        <v>0</v>
      </c>
      <c r="H137" s="39">
        <f t="shared" si="59"/>
        <v>0</v>
      </c>
      <c r="I137" s="39">
        <f t="shared" si="60"/>
        <v>0</v>
      </c>
      <c r="J137" s="2"/>
      <c r="K137" s="189"/>
      <c r="L137" s="2"/>
    </row>
    <row r="138" spans="1:12" x14ac:dyDescent="0.3">
      <c r="A138" s="116" t="s">
        <v>316</v>
      </c>
      <c r="B138" s="310" t="str">
        <f t="shared" ref="B138" si="87">IFERROR(I138/I$45,"-")</f>
        <v>-</v>
      </c>
      <c r="C138" s="500"/>
      <c r="D138" s="343">
        <v>0</v>
      </c>
      <c r="E138" s="343">
        <v>0</v>
      </c>
      <c r="F138" s="343">
        <v>0</v>
      </c>
      <c r="G138" s="344">
        <v>0</v>
      </c>
      <c r="H138" s="62">
        <f t="shared" si="59"/>
        <v>0</v>
      </c>
      <c r="I138" s="62">
        <f t="shared" si="60"/>
        <v>0</v>
      </c>
      <c r="J138" s="2"/>
      <c r="K138" s="197"/>
      <c r="L138" s="2"/>
    </row>
    <row r="139" spans="1:12" x14ac:dyDescent="0.3">
      <c r="A139" s="116" t="s">
        <v>448</v>
      </c>
      <c r="B139" s="310" t="str">
        <f>IFERROR(I139/I$46,"-")</f>
        <v>-</v>
      </c>
      <c r="C139" s="500"/>
      <c r="D139" s="343">
        <v>0</v>
      </c>
      <c r="E139" s="343">
        <v>0</v>
      </c>
      <c r="F139" s="343">
        <v>0</v>
      </c>
      <c r="G139" s="344">
        <v>0</v>
      </c>
      <c r="H139" s="62">
        <f t="shared" si="59"/>
        <v>0</v>
      </c>
      <c r="I139" s="62">
        <f t="shared" si="60"/>
        <v>0</v>
      </c>
      <c r="J139" s="2"/>
      <c r="K139" s="197"/>
      <c r="L139" s="2"/>
    </row>
    <row r="140" spans="1:12" x14ac:dyDescent="0.3">
      <c r="A140" s="116" t="s">
        <v>351</v>
      </c>
      <c r="B140" s="310">
        <f>IFERROR(I140/I$47,"-")</f>
        <v>723.41040462427748</v>
      </c>
      <c r="C140" s="500"/>
      <c r="D140" s="343">
        <v>7957.5144508670519</v>
      </c>
      <c r="E140" s="343">
        <v>7957.5144508670519</v>
      </c>
      <c r="F140" s="343">
        <v>7957.5144508670519</v>
      </c>
      <c r="G140" s="344">
        <v>7957.5144508670519</v>
      </c>
      <c r="H140" s="62">
        <f t="shared" si="59"/>
        <v>7957.5144508670519</v>
      </c>
      <c r="I140" s="62">
        <f t="shared" si="60"/>
        <v>31830.057803468208</v>
      </c>
      <c r="J140" s="2"/>
      <c r="K140" s="197"/>
      <c r="L140" s="2"/>
    </row>
    <row r="141" spans="1:12" x14ac:dyDescent="0.3">
      <c r="A141" s="115" t="s">
        <v>359</v>
      </c>
      <c r="B141" s="53"/>
      <c r="C141" s="474"/>
      <c r="D141" s="223">
        <f>SUM(D142:D148)</f>
        <v>240000</v>
      </c>
      <c r="E141" s="223">
        <f t="shared" ref="E141:G141" si="88">SUM(E142:E148)</f>
        <v>240000</v>
      </c>
      <c r="F141" s="223">
        <f t="shared" ref="F141" si="89">SUM(F142:F148)</f>
        <v>240000</v>
      </c>
      <c r="G141" s="224">
        <f t="shared" si="88"/>
        <v>240000</v>
      </c>
      <c r="H141" s="300">
        <f t="shared" si="59"/>
        <v>240000</v>
      </c>
      <c r="I141" s="300">
        <f t="shared" si="60"/>
        <v>960000</v>
      </c>
      <c r="J141" s="2"/>
      <c r="K141" s="197"/>
      <c r="L141" s="2"/>
    </row>
    <row r="142" spans="1:12" x14ac:dyDescent="0.3">
      <c r="A142" s="339" t="str">
        <f>'4a'!A428</f>
        <v>Equipement personnel de conduite</v>
      </c>
      <c r="B142" s="37">
        <f>IFERROR(I142/I$48,"-")</f>
        <v>1098.106435975038</v>
      </c>
      <c r="C142" s="497"/>
      <c r="D142" s="320">
        <f>'4a'!D428</f>
        <v>205000</v>
      </c>
      <c r="E142" s="320">
        <f>'4a'!E428</f>
        <v>205000</v>
      </c>
      <c r="F142" s="553">
        <f>'4a'!F428</f>
        <v>205000</v>
      </c>
      <c r="G142" s="321">
        <f>'4a'!G428</f>
        <v>205000</v>
      </c>
      <c r="H142" s="10">
        <f t="shared" si="59"/>
        <v>205000</v>
      </c>
      <c r="I142" s="39">
        <f t="shared" si="60"/>
        <v>820000</v>
      </c>
      <c r="J142" s="2"/>
      <c r="K142" s="188"/>
      <c r="L142" s="2"/>
    </row>
    <row r="143" spans="1:12" ht="13.15" customHeight="1" x14ac:dyDescent="0.3">
      <c r="A143" s="339" t="str">
        <f>'4a'!A429</f>
        <v>Equipement personnel d'atelier</v>
      </c>
      <c r="B143" s="37">
        <f t="shared" ref="B143:B148" si="90">IFERROR(I143/I$48,"-")</f>
        <v>187.48158662988456</v>
      </c>
      <c r="C143" s="497"/>
      <c r="D143" s="319">
        <f>'4a'!D429</f>
        <v>35000</v>
      </c>
      <c r="E143" s="319">
        <f>'4a'!E429</f>
        <v>35000</v>
      </c>
      <c r="F143" s="553">
        <f>'4a'!F429</f>
        <v>35000</v>
      </c>
      <c r="G143" s="321">
        <f>'4a'!G429</f>
        <v>35000</v>
      </c>
      <c r="H143" s="39">
        <f t="shared" si="59"/>
        <v>35000</v>
      </c>
      <c r="I143" s="39">
        <f t="shared" si="60"/>
        <v>140000</v>
      </c>
      <c r="J143" s="2"/>
      <c r="K143" s="189"/>
      <c r="L143" s="2"/>
    </row>
    <row r="144" spans="1:12" x14ac:dyDescent="0.3">
      <c r="A144" s="339"/>
      <c r="B144" s="37">
        <f t="shared" si="90"/>
        <v>0</v>
      </c>
      <c r="C144" s="497"/>
      <c r="D144" s="319"/>
      <c r="E144" s="319"/>
      <c r="F144" s="553"/>
      <c r="G144" s="321"/>
      <c r="H144" s="39">
        <f t="shared" si="59"/>
        <v>0</v>
      </c>
      <c r="I144" s="39">
        <f t="shared" si="60"/>
        <v>0</v>
      </c>
      <c r="J144" s="2"/>
      <c r="K144" s="189"/>
      <c r="L144" s="2"/>
    </row>
    <row r="145" spans="1:12" x14ac:dyDescent="0.3">
      <c r="A145" s="339"/>
      <c r="B145" s="37">
        <f t="shared" si="90"/>
        <v>0</v>
      </c>
      <c r="C145" s="497"/>
      <c r="D145" s="319"/>
      <c r="E145" s="319"/>
      <c r="F145" s="553"/>
      <c r="G145" s="321"/>
      <c r="H145" s="39">
        <f t="shared" si="59"/>
        <v>0</v>
      </c>
      <c r="I145" s="39">
        <f t="shared" si="60"/>
        <v>0</v>
      </c>
      <c r="J145" s="2"/>
      <c r="K145" s="189"/>
      <c r="L145" s="2"/>
    </row>
    <row r="146" spans="1:12" x14ac:dyDescent="0.3">
      <c r="A146" s="339"/>
      <c r="B146" s="37">
        <f t="shared" si="90"/>
        <v>0</v>
      </c>
      <c r="C146" s="497"/>
      <c r="D146" s="319"/>
      <c r="E146" s="319"/>
      <c r="F146" s="553"/>
      <c r="G146" s="321"/>
      <c r="H146" s="39">
        <f t="shared" si="59"/>
        <v>0</v>
      </c>
      <c r="I146" s="39">
        <f t="shared" si="60"/>
        <v>0</v>
      </c>
      <c r="J146" s="2"/>
      <c r="K146" s="189"/>
      <c r="L146" s="2"/>
    </row>
    <row r="147" spans="1:12" x14ac:dyDescent="0.3">
      <c r="A147" s="339"/>
      <c r="B147" s="37">
        <f t="shared" si="90"/>
        <v>0</v>
      </c>
      <c r="C147" s="497"/>
      <c r="D147" s="319"/>
      <c r="E147" s="319"/>
      <c r="F147" s="553"/>
      <c r="G147" s="321"/>
      <c r="H147" s="39">
        <f t="shared" si="59"/>
        <v>0</v>
      </c>
      <c r="I147" s="39">
        <f t="shared" si="60"/>
        <v>0</v>
      </c>
      <c r="J147" s="2"/>
      <c r="K147" s="189"/>
      <c r="L147" s="2"/>
    </row>
    <row r="148" spans="1:12" x14ac:dyDescent="0.3">
      <c r="A148" s="340"/>
      <c r="B148" s="79">
        <f t="shared" si="90"/>
        <v>0</v>
      </c>
      <c r="C148" s="495"/>
      <c r="D148" s="325"/>
      <c r="E148" s="325"/>
      <c r="F148" s="325"/>
      <c r="G148" s="326"/>
      <c r="H148" s="231">
        <f t="shared" si="59"/>
        <v>0</v>
      </c>
      <c r="I148" s="231">
        <f t="shared" si="60"/>
        <v>0</v>
      </c>
      <c r="J148" s="2"/>
      <c r="K148" s="204"/>
      <c r="L148" s="2"/>
    </row>
    <row r="149" spans="1:12" x14ac:dyDescent="0.3">
      <c r="A149" s="18" t="s">
        <v>7</v>
      </c>
      <c r="B149" s="165">
        <f>IFERROR(I123/I$48,"-")</f>
        <v>0</v>
      </c>
      <c r="C149" s="476"/>
      <c r="D149" s="19">
        <f t="shared" ref="D149:G149" si="91">D114+D123+D132+D141</f>
        <v>1022949.531237628</v>
      </c>
      <c r="E149" s="19">
        <f t="shared" si="91"/>
        <v>1022864.488874812</v>
      </c>
      <c r="F149" s="19">
        <f t="shared" ref="F149" si="92">F114+F123+F132+F141</f>
        <v>1022900.7906124642</v>
      </c>
      <c r="G149" s="35">
        <f t="shared" si="91"/>
        <v>1025454.0406999764</v>
      </c>
      <c r="H149" s="35">
        <f t="shared" si="59"/>
        <v>1023542.2128562202</v>
      </c>
      <c r="I149" s="35">
        <f t="shared" si="60"/>
        <v>4094168.8514248808</v>
      </c>
      <c r="J149" s="2"/>
      <c r="K149" s="197"/>
      <c r="L149" s="2"/>
    </row>
    <row r="150" spans="1:12" x14ac:dyDescent="0.3">
      <c r="C150" s="164"/>
      <c r="D150" s="164"/>
      <c r="E150" s="164"/>
      <c r="F150" s="164"/>
      <c r="G150" s="164"/>
      <c r="H150" s="164"/>
      <c r="I150" s="164"/>
      <c r="J150" s="2"/>
      <c r="L150" s="2"/>
    </row>
    <row r="151" spans="1:12" x14ac:dyDescent="0.3">
      <c r="C151" s="164"/>
      <c r="D151" s="164"/>
      <c r="E151" s="164"/>
      <c r="F151" s="164"/>
      <c r="G151" s="164"/>
      <c r="H151" s="164"/>
      <c r="I151" s="164"/>
      <c r="J151" s="2"/>
      <c r="L151" s="2"/>
    </row>
    <row r="152" spans="1:12" x14ac:dyDescent="0.3">
      <c r="A152" s="21" t="s">
        <v>78</v>
      </c>
      <c r="B152" s="154"/>
      <c r="C152" s="155"/>
      <c r="D152" s="155"/>
      <c r="E152" s="155"/>
      <c r="F152" s="155"/>
      <c r="G152" s="155"/>
      <c r="H152" s="155"/>
      <c r="I152" s="155"/>
      <c r="J152" s="155"/>
      <c r="K152" s="155"/>
      <c r="L152" s="2"/>
    </row>
    <row r="153" spans="1:12" ht="14.5" x14ac:dyDescent="0.35">
      <c r="C153" s="2"/>
      <c r="D153" s="2"/>
      <c r="E153" s="2"/>
      <c r="F153" s="2"/>
      <c r="G153" s="2"/>
      <c r="H153" s="2"/>
      <c r="I153" s="2"/>
      <c r="J153" s="2"/>
      <c r="K153"/>
      <c r="L153" s="2"/>
    </row>
    <row r="154" spans="1:12" x14ac:dyDescent="0.3">
      <c r="A154" s="42" t="s">
        <v>69</v>
      </c>
      <c r="B154" s="43"/>
      <c r="C154" s="44"/>
      <c r="D154" s="44"/>
      <c r="E154" s="44"/>
      <c r="F154" s="44"/>
      <c r="G154" s="44"/>
      <c r="H154" s="44"/>
      <c r="I154" s="44"/>
      <c r="J154" s="44"/>
      <c r="K154" s="44"/>
      <c r="L154" s="2"/>
    </row>
    <row r="155" spans="1:12" x14ac:dyDescent="0.3">
      <c r="C155" s="2"/>
      <c r="D155" s="2"/>
      <c r="E155" s="2"/>
      <c r="F155" s="2"/>
      <c r="G155" s="2"/>
      <c r="H155" s="2"/>
      <c r="I155" s="2"/>
      <c r="J155" s="2"/>
      <c r="K155" s="2"/>
      <c r="L155" s="2"/>
    </row>
    <row r="156" spans="1:12" ht="52.15" customHeight="1" x14ac:dyDescent="0.3">
      <c r="A156" s="45" t="s">
        <v>185</v>
      </c>
      <c r="B156" s="46" t="s">
        <v>184</v>
      </c>
      <c r="C156" s="47" t="s">
        <v>18</v>
      </c>
      <c r="D156" s="47" t="s">
        <v>74</v>
      </c>
      <c r="E156" s="2"/>
      <c r="F156" s="2"/>
      <c r="G156" s="2"/>
      <c r="H156" s="2"/>
      <c r="I156" s="2"/>
      <c r="J156" s="2"/>
      <c r="K156" s="2"/>
      <c r="L156" s="2"/>
    </row>
    <row r="157" spans="1:12" x14ac:dyDescent="0.3">
      <c r="A157" s="36" t="s">
        <v>348</v>
      </c>
      <c r="B157" s="328">
        <f>'4a'!B$443</f>
        <v>26.15</v>
      </c>
      <c r="C157" s="329">
        <f>'4a'!C$443</f>
        <v>38.442907173716435</v>
      </c>
      <c r="D157" s="323">
        <v>0</v>
      </c>
      <c r="E157" s="2"/>
      <c r="F157" s="2"/>
      <c r="G157" s="2"/>
      <c r="H157" s="2"/>
      <c r="I157" s="2"/>
      <c r="J157" s="2"/>
      <c r="K157" s="2"/>
      <c r="L157" s="2"/>
    </row>
    <row r="158" spans="1:12" x14ac:dyDescent="0.3">
      <c r="A158" s="36" t="s">
        <v>349</v>
      </c>
      <c r="B158" s="328">
        <f>'4a'!B$443</f>
        <v>26.15</v>
      </c>
      <c r="C158" s="329">
        <f>'4a'!C$443</f>
        <v>38.442907173716435</v>
      </c>
      <c r="D158" s="323">
        <v>0</v>
      </c>
      <c r="E158" s="2"/>
      <c r="F158" s="2"/>
      <c r="G158" s="2"/>
      <c r="H158" s="2"/>
      <c r="I158" s="2"/>
      <c r="J158" s="2"/>
      <c r="K158" s="2"/>
      <c r="L158" s="2"/>
    </row>
    <row r="159" spans="1:12" x14ac:dyDescent="0.3">
      <c r="A159" s="36" t="s">
        <v>350</v>
      </c>
      <c r="B159" s="328">
        <f>'4a'!B$443</f>
        <v>26.15</v>
      </c>
      <c r="C159" s="329">
        <f>'4a'!C$443</f>
        <v>38.442907173716435</v>
      </c>
      <c r="D159" s="329">
        <v>0</v>
      </c>
      <c r="E159" s="2"/>
      <c r="F159" s="2"/>
      <c r="G159" s="2"/>
      <c r="H159" s="2"/>
      <c r="I159" s="2"/>
      <c r="J159" s="2"/>
      <c r="K159" s="2"/>
      <c r="L159" s="2"/>
    </row>
    <row r="160" spans="1:12" x14ac:dyDescent="0.3">
      <c r="A160" s="36" t="s">
        <v>446</v>
      </c>
      <c r="B160" s="328"/>
      <c r="C160" s="329"/>
      <c r="D160" s="323"/>
      <c r="E160" s="2"/>
      <c r="F160" s="2"/>
      <c r="G160" s="2"/>
      <c r="H160" s="2"/>
      <c r="I160" s="2"/>
      <c r="J160" s="2"/>
      <c r="K160" s="2"/>
      <c r="L160" s="2"/>
    </row>
    <row r="161" spans="1:12" x14ac:dyDescent="0.3">
      <c r="A161" s="36" t="s">
        <v>316</v>
      </c>
      <c r="B161" s="328"/>
      <c r="C161" s="329"/>
      <c r="D161" s="329"/>
      <c r="E161" s="2"/>
      <c r="F161" s="2"/>
      <c r="G161" s="2"/>
      <c r="H161" s="2"/>
      <c r="I161" s="2"/>
      <c r="J161" s="2"/>
      <c r="K161" s="2"/>
      <c r="L161" s="2"/>
    </row>
    <row r="162" spans="1:12" x14ac:dyDescent="0.3">
      <c r="A162" s="36" t="s">
        <v>448</v>
      </c>
      <c r="B162" s="328"/>
      <c r="C162" s="329"/>
      <c r="D162" s="329"/>
      <c r="E162" s="2"/>
      <c r="F162" s="2"/>
      <c r="G162" s="2"/>
      <c r="H162" s="2"/>
      <c r="I162" s="2"/>
      <c r="J162" s="2"/>
      <c r="K162" s="2"/>
      <c r="L162" s="2"/>
    </row>
    <row r="163" spans="1:12" x14ac:dyDescent="0.3">
      <c r="A163" s="59" t="s">
        <v>351</v>
      </c>
      <c r="B163" s="330">
        <f>'4a'!B$443</f>
        <v>26.15</v>
      </c>
      <c r="C163" s="331">
        <f>'4a'!C$443</f>
        <v>38.442907173716435</v>
      </c>
      <c r="D163" s="331">
        <v>0</v>
      </c>
      <c r="E163" s="2"/>
      <c r="F163" s="2"/>
      <c r="G163" s="2"/>
      <c r="H163" s="2"/>
      <c r="I163" s="2"/>
      <c r="J163" s="2"/>
      <c r="K163" s="2"/>
      <c r="L163" s="2"/>
    </row>
    <row r="164" spans="1:12" x14ac:dyDescent="0.3">
      <c r="B164" s="11"/>
      <c r="I164" s="2"/>
      <c r="K164" s="2"/>
      <c r="L164" s="2"/>
    </row>
    <row r="165" spans="1:12" ht="26" x14ac:dyDescent="0.3">
      <c r="A165" s="668" t="s">
        <v>292</v>
      </c>
      <c r="B165" s="655"/>
      <c r="C165" s="3" t="str">
        <f>Annee0</f>
        <v>Année 0</v>
      </c>
      <c r="D165" s="3" t="str">
        <f>Annee1</f>
        <v>Année 1</v>
      </c>
      <c r="E165" s="3" t="str">
        <f>Annee2</f>
        <v>Année 2</v>
      </c>
      <c r="F165" s="516" t="str">
        <f>Annee3</f>
        <v>Année 3</v>
      </c>
      <c r="G165" s="541" t="str">
        <f>Annee4</f>
        <v>Année 4</v>
      </c>
      <c r="H165" s="181" t="s">
        <v>256</v>
      </c>
      <c r="I165" s="4" t="s">
        <v>59</v>
      </c>
      <c r="K165" s="187" t="s">
        <v>290</v>
      </c>
      <c r="L165" s="2"/>
    </row>
    <row r="166" spans="1:12" x14ac:dyDescent="0.3">
      <c r="A166" s="667"/>
      <c r="B166" s="656"/>
      <c r="C166" s="77">
        <v>12</v>
      </c>
      <c r="D166" s="77">
        <v>12</v>
      </c>
      <c r="E166" s="77">
        <v>12</v>
      </c>
      <c r="F166" s="77">
        <v>12</v>
      </c>
      <c r="G166" s="183">
        <v>12</v>
      </c>
      <c r="H166" s="78">
        <f t="shared" ref="H166:H173" si="93">IFERROR(AVERAGE(C166:G166),0)</f>
        <v>12</v>
      </c>
      <c r="I166" s="78">
        <f t="shared" ref="I166:I173" si="94">SUM(C166:G166)</f>
        <v>60</v>
      </c>
      <c r="K166" s="195"/>
      <c r="L166" s="2"/>
    </row>
    <row r="167" spans="1:12" x14ac:dyDescent="0.3">
      <c r="A167" s="25" t="s">
        <v>348</v>
      </c>
      <c r="B167" s="37"/>
      <c r="C167" s="496"/>
      <c r="D167" s="322">
        <v>260378.77906219239</v>
      </c>
      <c r="E167" s="322">
        <v>260378.77906219239</v>
      </c>
      <c r="F167" s="554">
        <v>260378.77906219236</v>
      </c>
      <c r="G167" s="323">
        <v>260378.77906219242</v>
      </c>
      <c r="H167" s="14">
        <f t="shared" si="93"/>
        <v>260378.77906219239</v>
      </c>
      <c r="I167" s="39">
        <f t="shared" si="94"/>
        <v>1041515.1162487696</v>
      </c>
      <c r="K167" s="189"/>
      <c r="L167" s="2"/>
    </row>
    <row r="168" spans="1:12" x14ac:dyDescent="0.3">
      <c r="A168" s="25" t="s">
        <v>349</v>
      </c>
      <c r="B168" s="37"/>
      <c r="C168" s="496"/>
      <c r="D168" s="322">
        <v>138655.3552536213</v>
      </c>
      <c r="E168" s="322">
        <v>138655.3552536213</v>
      </c>
      <c r="F168" s="554">
        <v>138655.35525362127</v>
      </c>
      <c r="G168" s="323">
        <v>138655.3552536213</v>
      </c>
      <c r="H168" s="14">
        <f t="shared" si="93"/>
        <v>138655.3552536213</v>
      </c>
      <c r="I168" s="39">
        <f t="shared" si="94"/>
        <v>554621.42101448518</v>
      </c>
      <c r="K168" s="189"/>
      <c r="L168" s="2"/>
    </row>
    <row r="169" spans="1:12" x14ac:dyDescent="0.3">
      <c r="A169" s="25" t="s">
        <v>350</v>
      </c>
      <c r="B169" s="37"/>
      <c r="C169" s="496"/>
      <c r="D169" s="322">
        <v>20461.279619742494</v>
      </c>
      <c r="E169" s="322">
        <v>20461.279619742494</v>
      </c>
      <c r="F169" s="554">
        <v>20461.279619742494</v>
      </c>
      <c r="G169" s="323">
        <v>20461.279619742498</v>
      </c>
      <c r="H169" s="14">
        <f t="shared" si="93"/>
        <v>20461.279619742498</v>
      </c>
      <c r="I169" s="39">
        <f t="shared" si="94"/>
        <v>81845.118478969991</v>
      </c>
      <c r="K169" s="189"/>
      <c r="L169" s="2"/>
    </row>
    <row r="170" spans="1:12" x14ac:dyDescent="0.3">
      <c r="A170" s="25" t="s">
        <v>446</v>
      </c>
      <c r="B170" s="37"/>
      <c r="C170" s="496"/>
      <c r="D170" s="322">
        <v>82792.811397777114</v>
      </c>
      <c r="E170" s="322">
        <v>82792.811397777114</v>
      </c>
      <c r="F170" s="554">
        <v>82792.811397777099</v>
      </c>
      <c r="G170" s="323">
        <v>82792.811397777128</v>
      </c>
      <c r="H170" s="14">
        <f t="shared" si="93"/>
        <v>82792.811397777114</v>
      </c>
      <c r="I170" s="39">
        <f t="shared" si="94"/>
        <v>331171.24559110845</v>
      </c>
      <c r="K170" s="189"/>
      <c r="L170" s="2"/>
    </row>
    <row r="171" spans="1:12" x14ac:dyDescent="0.3">
      <c r="A171" s="25" t="s">
        <v>316</v>
      </c>
      <c r="B171" s="37"/>
      <c r="C171" s="496"/>
      <c r="D171" s="322">
        <v>0</v>
      </c>
      <c r="E171" s="322">
        <v>0</v>
      </c>
      <c r="F171" s="554">
        <v>0</v>
      </c>
      <c r="G171" s="323">
        <v>0</v>
      </c>
      <c r="H171" s="14">
        <f t="shared" si="93"/>
        <v>0</v>
      </c>
      <c r="I171" s="39">
        <f t="shared" si="94"/>
        <v>0</v>
      </c>
      <c r="K171" s="189"/>
      <c r="L171" s="2"/>
    </row>
    <row r="172" spans="1:12" x14ac:dyDescent="0.3">
      <c r="A172" s="25" t="s">
        <v>448</v>
      </c>
      <c r="B172" s="37"/>
      <c r="C172" s="496"/>
      <c r="D172" s="322">
        <v>0</v>
      </c>
      <c r="E172" s="322">
        <v>0</v>
      </c>
      <c r="F172" s="554">
        <v>0</v>
      </c>
      <c r="G172" s="323">
        <v>0</v>
      </c>
      <c r="H172" s="14">
        <f t="shared" si="93"/>
        <v>0</v>
      </c>
      <c r="I172" s="39">
        <f t="shared" si="94"/>
        <v>0</v>
      </c>
      <c r="K172" s="189"/>
      <c r="L172" s="2"/>
    </row>
    <row r="173" spans="1:12" x14ac:dyDescent="0.3">
      <c r="A173" s="59" t="s">
        <v>351</v>
      </c>
      <c r="B173" s="79"/>
      <c r="C173" s="495"/>
      <c r="D173" s="325">
        <v>0</v>
      </c>
      <c r="E173" s="325">
        <v>0</v>
      </c>
      <c r="F173" s="325">
        <v>0</v>
      </c>
      <c r="G173" s="326">
        <v>0</v>
      </c>
      <c r="H173" s="16">
        <f t="shared" si="93"/>
        <v>0</v>
      </c>
      <c r="I173" s="231">
        <f t="shared" si="94"/>
        <v>0</v>
      </c>
      <c r="K173" s="204"/>
      <c r="L173" s="2"/>
    </row>
    <row r="174" spans="1:12" x14ac:dyDescent="0.3">
      <c r="B174" s="11"/>
      <c r="C174" s="245"/>
      <c r="I174" s="2"/>
      <c r="K174" s="2"/>
      <c r="L174" s="2"/>
    </row>
    <row r="175" spans="1:12" ht="26" x14ac:dyDescent="0.3">
      <c r="A175" s="668" t="s">
        <v>186</v>
      </c>
      <c r="B175" s="655"/>
      <c r="C175" s="3" t="str">
        <f>Annee0</f>
        <v>Année 0</v>
      </c>
      <c r="D175" s="3" t="str">
        <f>Annee1</f>
        <v>Année 1</v>
      </c>
      <c r="E175" s="3" t="str">
        <f>Annee2</f>
        <v>Année 2</v>
      </c>
      <c r="F175" s="516" t="str">
        <f>Annee3</f>
        <v>Année 3</v>
      </c>
      <c r="G175" s="541" t="str">
        <f>Annee4</f>
        <v>Année 4</v>
      </c>
      <c r="H175" s="181" t="s">
        <v>256</v>
      </c>
      <c r="I175" s="4" t="s">
        <v>59</v>
      </c>
      <c r="K175" s="187" t="s">
        <v>290</v>
      </c>
      <c r="L175" s="2"/>
    </row>
    <row r="176" spans="1:12" ht="14.5" customHeight="1" x14ac:dyDescent="0.3">
      <c r="A176" s="667"/>
      <c r="B176" s="656"/>
      <c r="C176" s="77">
        <v>12</v>
      </c>
      <c r="D176" s="77">
        <v>12</v>
      </c>
      <c r="E176" s="77">
        <v>12</v>
      </c>
      <c r="F176" s="77">
        <v>12</v>
      </c>
      <c r="G176" s="183">
        <v>12</v>
      </c>
      <c r="H176" s="78">
        <f t="shared" ref="H176:H184" si="95">IFERROR(AVERAGE(C176:G176),0)</f>
        <v>12</v>
      </c>
      <c r="I176" s="78">
        <f t="shared" ref="I176:I184" si="96">SUM(C176:G176)</f>
        <v>60</v>
      </c>
      <c r="K176" s="195"/>
      <c r="L176" s="2"/>
    </row>
    <row r="177" spans="1:12" x14ac:dyDescent="0.3">
      <c r="A177" s="36" t="s">
        <v>348</v>
      </c>
      <c r="B177" s="37"/>
      <c r="C177" s="498"/>
      <c r="D177" s="333">
        <v>203.61041329197215</v>
      </c>
      <c r="E177" s="333">
        <v>204.39651248320669</v>
      </c>
      <c r="F177" s="629">
        <v>204.91486275329279</v>
      </c>
      <c r="G177" s="630">
        <v>205.43470310433125</v>
      </c>
      <c r="H177" s="230">
        <f t="shared" si="95"/>
        <v>204.58912290820072</v>
      </c>
      <c r="I177" s="161">
        <f t="shared" si="96"/>
        <v>818.35649163280289</v>
      </c>
      <c r="K177" s="188"/>
      <c r="L177" s="2"/>
    </row>
    <row r="178" spans="1:12" x14ac:dyDescent="0.3">
      <c r="A178" s="36" t="s">
        <v>349</v>
      </c>
      <c r="B178" s="37"/>
      <c r="C178" s="498"/>
      <c r="D178" s="332">
        <v>108.42540352181243</v>
      </c>
      <c r="E178" s="332">
        <v>108.84401237702629</v>
      </c>
      <c r="F178" s="629">
        <v>109.12004117285774</v>
      </c>
      <c r="G178" s="630">
        <v>109.39686345771524</v>
      </c>
      <c r="H178" s="161">
        <f t="shared" si="95"/>
        <v>108.94658013235292</v>
      </c>
      <c r="I178" s="161">
        <f t="shared" si="96"/>
        <v>435.78632052941168</v>
      </c>
      <c r="K178" s="189"/>
      <c r="L178" s="2"/>
    </row>
    <row r="179" spans="1:12" x14ac:dyDescent="0.3">
      <c r="A179" s="36" t="s">
        <v>350</v>
      </c>
      <c r="B179" s="37"/>
      <c r="C179" s="496"/>
      <c r="D179" s="322">
        <v>16.000265516504637</v>
      </c>
      <c r="E179" s="322">
        <v>16.062039350066016</v>
      </c>
      <c r="F179" s="554">
        <v>16.102772737999551</v>
      </c>
      <c r="G179" s="323">
        <v>16.14362322058701</v>
      </c>
      <c r="H179" s="161">
        <f t="shared" si="95"/>
        <v>16.077175206289304</v>
      </c>
      <c r="I179" s="161">
        <f t="shared" si="96"/>
        <v>64.308700825157217</v>
      </c>
      <c r="K179" s="189"/>
      <c r="L179" s="2"/>
    </row>
    <row r="180" spans="1:12" x14ac:dyDescent="0.3">
      <c r="A180" s="36" t="s">
        <v>446</v>
      </c>
      <c r="B180" s="37"/>
      <c r="C180" s="496"/>
      <c r="D180" s="322">
        <v>64.742136847792935</v>
      </c>
      <c r="E180" s="322">
        <v>64.992093323947543</v>
      </c>
      <c r="F180" s="554">
        <v>65.156913499784437</v>
      </c>
      <c r="G180" s="323">
        <v>65.322207477640447</v>
      </c>
      <c r="H180" s="161">
        <f t="shared" si="95"/>
        <v>65.053337787291341</v>
      </c>
      <c r="I180" s="161">
        <f t="shared" si="96"/>
        <v>260.21335114916536</v>
      </c>
      <c r="K180" s="189"/>
      <c r="L180" s="2"/>
    </row>
    <row r="181" spans="1:12" x14ac:dyDescent="0.3">
      <c r="A181" s="36" t="s">
        <v>316</v>
      </c>
      <c r="B181" s="37"/>
      <c r="C181" s="496"/>
      <c r="D181" s="322">
        <v>0</v>
      </c>
      <c r="E181" s="322">
        <v>0</v>
      </c>
      <c r="F181" s="554">
        <v>0</v>
      </c>
      <c r="G181" s="323">
        <v>0</v>
      </c>
      <c r="H181" s="161">
        <f t="shared" si="95"/>
        <v>0</v>
      </c>
      <c r="I181" s="161">
        <f t="shared" si="96"/>
        <v>0</v>
      </c>
      <c r="K181" s="189"/>
      <c r="L181" s="2"/>
    </row>
    <row r="182" spans="1:12" x14ac:dyDescent="0.3">
      <c r="A182" s="25" t="s">
        <v>448</v>
      </c>
      <c r="B182" s="37"/>
      <c r="C182" s="496"/>
      <c r="D182" s="322">
        <v>0</v>
      </c>
      <c r="E182" s="322">
        <v>0</v>
      </c>
      <c r="F182" s="554">
        <v>0</v>
      </c>
      <c r="G182" s="323">
        <v>0</v>
      </c>
      <c r="H182" s="161">
        <f t="shared" si="95"/>
        <v>0</v>
      </c>
      <c r="I182" s="161">
        <f t="shared" si="96"/>
        <v>0</v>
      </c>
      <c r="K182" s="189"/>
      <c r="L182" s="2"/>
    </row>
    <row r="183" spans="1:12" x14ac:dyDescent="0.3">
      <c r="A183" s="36" t="s">
        <v>351</v>
      </c>
      <c r="B183" s="37"/>
      <c r="C183" s="496"/>
      <c r="D183" s="322">
        <v>0</v>
      </c>
      <c r="E183" s="322">
        <v>0</v>
      </c>
      <c r="F183" s="554">
        <v>0</v>
      </c>
      <c r="G183" s="323">
        <v>0</v>
      </c>
      <c r="H183" s="327">
        <f t="shared" si="95"/>
        <v>0</v>
      </c>
      <c r="I183" s="161">
        <f t="shared" si="96"/>
        <v>0</v>
      </c>
      <c r="K183" s="189"/>
      <c r="L183" s="2"/>
    </row>
    <row r="184" spans="1:12" x14ac:dyDescent="0.3">
      <c r="A184" s="335" t="s">
        <v>339</v>
      </c>
      <c r="B184" s="34"/>
      <c r="C184" s="486"/>
      <c r="D184" s="334">
        <f t="shared" ref="D184:G184" si="97">SUM(D177:D183)</f>
        <v>392.77821917808211</v>
      </c>
      <c r="E184" s="334">
        <f t="shared" si="97"/>
        <v>394.29465753424654</v>
      </c>
      <c r="F184" s="334">
        <f t="shared" ref="F184" si="98">SUM(F177:F183)</f>
        <v>395.29459016393452</v>
      </c>
      <c r="G184" s="162">
        <f t="shared" si="97"/>
        <v>396.29739726027395</v>
      </c>
      <c r="H184" s="160">
        <f t="shared" si="95"/>
        <v>394.66621603413432</v>
      </c>
      <c r="I184" s="162">
        <f t="shared" si="96"/>
        <v>1578.6648641365373</v>
      </c>
      <c r="K184" s="204"/>
      <c r="L184" s="2"/>
    </row>
    <row r="185" spans="1:12" x14ac:dyDescent="0.3">
      <c r="A185" s="49"/>
      <c r="B185" s="48"/>
      <c r="C185" s="240"/>
      <c r="D185" s="240"/>
      <c r="E185" s="240"/>
      <c r="F185" s="240"/>
      <c r="G185" s="240"/>
      <c r="H185" s="2"/>
      <c r="I185" s="166"/>
      <c r="K185" s="2"/>
      <c r="L185" s="2"/>
    </row>
    <row r="186" spans="1:12" x14ac:dyDescent="0.3">
      <c r="A186" s="42" t="s">
        <v>75</v>
      </c>
      <c r="B186" s="43"/>
      <c r="C186" s="44"/>
      <c r="D186" s="44"/>
      <c r="E186" s="44"/>
      <c r="F186" s="44"/>
      <c r="G186" s="44"/>
      <c r="H186" s="44"/>
      <c r="I186" s="44"/>
      <c r="L186" s="2"/>
    </row>
    <row r="187" spans="1:12" ht="13.9" customHeight="1" x14ac:dyDescent="0.3">
      <c r="L187" s="2"/>
    </row>
    <row r="188" spans="1:12" ht="26" x14ac:dyDescent="0.3">
      <c r="A188" s="668" t="s">
        <v>188</v>
      </c>
      <c r="B188" s="655"/>
      <c r="C188" s="3" t="str">
        <f>Annee0</f>
        <v>Année 0</v>
      </c>
      <c r="D188" s="3" t="str">
        <f>Annee1</f>
        <v>Année 1</v>
      </c>
      <c r="E188" s="3" t="str">
        <f>Annee2</f>
        <v>Année 2</v>
      </c>
      <c r="F188" s="516" t="str">
        <f>Annee3</f>
        <v>Année 3</v>
      </c>
      <c r="G188" s="541" t="str">
        <f>Annee4</f>
        <v>Année 4</v>
      </c>
      <c r="H188" s="181" t="s">
        <v>256</v>
      </c>
      <c r="I188" s="4" t="s">
        <v>59</v>
      </c>
      <c r="K188" s="187" t="s">
        <v>290</v>
      </c>
      <c r="L188" s="2"/>
    </row>
    <row r="189" spans="1:12" ht="14.5" customHeight="1" x14ac:dyDescent="0.3">
      <c r="A189" s="667"/>
      <c r="B189" s="656"/>
      <c r="C189" s="77">
        <v>12</v>
      </c>
      <c r="D189" s="77">
        <v>12</v>
      </c>
      <c r="E189" s="77">
        <v>12</v>
      </c>
      <c r="F189" s="77">
        <v>12</v>
      </c>
      <c r="G189" s="183">
        <v>12</v>
      </c>
      <c r="H189" s="78">
        <f t="shared" ref="H189:H197" si="99">IFERROR(AVERAGE(C189:G189),0)</f>
        <v>12</v>
      </c>
      <c r="I189" s="78">
        <f t="shared" ref="I189:I197" si="100">SUM(C189:G189)</f>
        <v>60</v>
      </c>
      <c r="K189" s="195"/>
      <c r="L189" s="2"/>
    </row>
    <row r="190" spans="1:12" x14ac:dyDescent="0.3">
      <c r="A190" s="36" t="s">
        <v>348</v>
      </c>
      <c r="B190" s="37"/>
      <c r="C190" s="498"/>
      <c r="D190" s="333">
        <v>10286167.147074135</v>
      </c>
      <c r="E190" s="333">
        <v>10377602.756893134</v>
      </c>
      <c r="F190" s="629">
        <v>10442567.851869553</v>
      </c>
      <c r="G190" s="630">
        <v>10516423.589090655</v>
      </c>
      <c r="H190" s="10">
        <f t="shared" si="99"/>
        <v>10405690.336231869</v>
      </c>
      <c r="I190" s="39">
        <f t="shared" si="100"/>
        <v>41622761.344927475</v>
      </c>
      <c r="K190" s="188"/>
      <c r="L190" s="2"/>
    </row>
    <row r="191" spans="1:12" x14ac:dyDescent="0.3">
      <c r="A191" s="36" t="s">
        <v>349</v>
      </c>
      <c r="B191" s="37"/>
      <c r="C191" s="498"/>
      <c r="D191" s="332">
        <v>5477528.4111576229</v>
      </c>
      <c r="E191" s="332">
        <v>5526219.1570315659</v>
      </c>
      <c r="F191" s="629">
        <v>5560813.9821378356</v>
      </c>
      <c r="G191" s="630">
        <v>5600143.1990532586</v>
      </c>
      <c r="H191" s="39">
        <f t="shared" si="99"/>
        <v>5541176.1873450708</v>
      </c>
      <c r="I191" s="39">
        <f t="shared" si="100"/>
        <v>22164704.749380283</v>
      </c>
      <c r="K191" s="189"/>
      <c r="L191" s="2"/>
    </row>
    <row r="192" spans="1:12" x14ac:dyDescent="0.3">
      <c r="A192" s="36" t="s">
        <v>350</v>
      </c>
      <c r="B192" s="37"/>
      <c r="C192" s="496"/>
      <c r="D192" s="322">
        <v>808315.26658868685</v>
      </c>
      <c r="E192" s="322">
        <v>815500.52794695331</v>
      </c>
      <c r="F192" s="554">
        <v>820605.66354449803</v>
      </c>
      <c r="G192" s="323">
        <v>826409.45022882777</v>
      </c>
      <c r="H192" s="39">
        <f t="shared" si="99"/>
        <v>817707.72707724152</v>
      </c>
      <c r="I192" s="39">
        <f t="shared" si="100"/>
        <v>3270830.9083089661</v>
      </c>
      <c r="K192" s="189"/>
      <c r="L192" s="2"/>
    </row>
    <row r="193" spans="1:12" x14ac:dyDescent="0.3">
      <c r="A193" s="36" t="s">
        <v>446</v>
      </c>
      <c r="B193" s="37"/>
      <c r="C193" s="496"/>
      <c r="D193" s="322">
        <v>3270699.3238120507</v>
      </c>
      <c r="E193" s="322">
        <v>3299773.1647220151</v>
      </c>
      <c r="F193" s="554">
        <v>3320430.1586413877</v>
      </c>
      <c r="G193" s="323">
        <v>3343914.1159147643</v>
      </c>
      <c r="H193" s="39">
        <f t="shared" si="99"/>
        <v>3308704.1907725544</v>
      </c>
      <c r="I193" s="39">
        <f t="shared" si="100"/>
        <v>13234816.763090217</v>
      </c>
      <c r="K193" s="189"/>
      <c r="L193" s="2"/>
    </row>
    <row r="194" spans="1:12" x14ac:dyDescent="0.3">
      <c r="A194" s="36" t="s">
        <v>316</v>
      </c>
      <c r="B194" s="37"/>
      <c r="C194" s="496"/>
      <c r="D194" s="322">
        <v>0</v>
      </c>
      <c r="E194" s="322">
        <v>0</v>
      </c>
      <c r="F194" s="554">
        <v>0</v>
      </c>
      <c r="G194" s="323">
        <v>0</v>
      </c>
      <c r="H194" s="39">
        <f t="shared" si="99"/>
        <v>0</v>
      </c>
      <c r="I194" s="39">
        <f t="shared" si="100"/>
        <v>0</v>
      </c>
      <c r="K194" s="189"/>
      <c r="L194" s="2"/>
    </row>
    <row r="195" spans="1:12" x14ac:dyDescent="0.3">
      <c r="A195" s="25" t="s">
        <v>448</v>
      </c>
      <c r="B195" s="37"/>
      <c r="C195" s="496"/>
      <c r="D195" s="322">
        <v>0</v>
      </c>
      <c r="E195" s="322">
        <v>0</v>
      </c>
      <c r="F195" s="554">
        <v>0</v>
      </c>
      <c r="G195" s="323">
        <v>0</v>
      </c>
      <c r="H195" s="39">
        <f t="shared" si="99"/>
        <v>0</v>
      </c>
      <c r="I195" s="39">
        <f t="shared" si="100"/>
        <v>0</v>
      </c>
      <c r="K195" s="189"/>
      <c r="L195" s="2"/>
    </row>
    <row r="196" spans="1:12" x14ac:dyDescent="0.3">
      <c r="A196" s="36" t="s">
        <v>351</v>
      </c>
      <c r="B196" s="37"/>
      <c r="C196" s="496"/>
      <c r="D196" s="322">
        <v>0</v>
      </c>
      <c r="E196" s="322">
        <v>0</v>
      </c>
      <c r="F196" s="554">
        <v>0</v>
      </c>
      <c r="G196" s="323">
        <v>0</v>
      </c>
      <c r="H196" s="231">
        <f t="shared" si="99"/>
        <v>0</v>
      </c>
      <c r="I196" s="39">
        <f t="shared" si="100"/>
        <v>0</v>
      </c>
      <c r="K196" s="189"/>
      <c r="L196" s="2"/>
    </row>
    <row r="197" spans="1:12" x14ac:dyDescent="0.3">
      <c r="A197" s="335" t="s">
        <v>340</v>
      </c>
      <c r="B197" s="34"/>
      <c r="C197" s="486"/>
      <c r="D197" s="334">
        <f t="shared" ref="D197:G197" si="101">SUM(D190:D196)</f>
        <v>19842710.148632497</v>
      </c>
      <c r="E197" s="334">
        <f t="shared" si="101"/>
        <v>20019095.606593668</v>
      </c>
      <c r="F197" s="334">
        <f t="shared" ref="F197" si="102">SUM(F190:F196)</f>
        <v>20144417.656193275</v>
      </c>
      <c r="G197" s="162">
        <f t="shared" si="101"/>
        <v>20286890.354287509</v>
      </c>
      <c r="H197" s="20">
        <f t="shared" si="99"/>
        <v>20073278.441426735</v>
      </c>
      <c r="I197" s="35">
        <f t="shared" si="100"/>
        <v>80293113.765706941</v>
      </c>
      <c r="K197" s="462" t="s">
        <v>427</v>
      </c>
      <c r="L197" s="2"/>
    </row>
    <row r="198" spans="1:12" x14ac:dyDescent="0.3">
      <c r="C198" s="2"/>
      <c r="D198" s="2"/>
      <c r="E198" s="2"/>
      <c r="F198" s="2"/>
      <c r="G198" s="2"/>
      <c r="L198" s="2"/>
    </row>
    <row r="199" spans="1:12" x14ac:dyDescent="0.3">
      <c r="C199" s="2"/>
      <c r="D199" s="2"/>
      <c r="E199" s="2"/>
      <c r="F199" s="2"/>
      <c r="G199" s="2"/>
      <c r="L199" s="2"/>
    </row>
    <row r="200" spans="1:12" x14ac:dyDescent="0.3">
      <c r="C200" s="2"/>
      <c r="D200" s="2"/>
      <c r="E200" s="2"/>
      <c r="F200" s="2"/>
      <c r="G200" s="2"/>
      <c r="H200" s="164"/>
      <c r="J200" s="164"/>
      <c r="L200" s="2"/>
    </row>
    <row r="201" spans="1:12" x14ac:dyDescent="0.3">
      <c r="C201" s="2"/>
      <c r="D201" s="2"/>
      <c r="E201" s="2"/>
      <c r="F201" s="2"/>
      <c r="G201" s="2"/>
      <c r="L201" s="2"/>
    </row>
    <row r="202" spans="1:12" x14ac:dyDescent="0.3">
      <c r="C202" s="2"/>
      <c r="D202" s="2"/>
      <c r="E202" s="2"/>
      <c r="F202" s="2"/>
      <c r="G202" s="2"/>
      <c r="L202" s="2"/>
    </row>
    <row r="203" spans="1:12" x14ac:dyDescent="0.3">
      <c r="C203" s="2"/>
      <c r="D203" s="2"/>
      <c r="E203" s="2"/>
      <c r="F203" s="2"/>
      <c r="G203" s="2"/>
      <c r="L203" s="2"/>
    </row>
    <row r="204" spans="1:12" x14ac:dyDescent="0.3">
      <c r="C204" s="248"/>
      <c r="D204" s="2"/>
      <c r="E204" s="2"/>
      <c r="F204" s="2"/>
      <c r="G204" s="2"/>
      <c r="L204" s="2"/>
    </row>
    <row r="205" spans="1:12" x14ac:dyDescent="0.3">
      <c r="C205" s="2"/>
      <c r="D205" s="2"/>
      <c r="E205" s="2"/>
      <c r="F205" s="2"/>
      <c r="G205" s="2"/>
      <c r="L205" s="2"/>
    </row>
    <row r="206" spans="1:12" x14ac:dyDescent="0.3">
      <c r="C206" s="2"/>
      <c r="D206" s="2"/>
      <c r="E206" s="2"/>
      <c r="F206" s="2"/>
      <c r="G206" s="2"/>
      <c r="L206" s="2"/>
    </row>
    <row r="207" spans="1:12" x14ac:dyDescent="0.3">
      <c r="C207" s="2"/>
      <c r="D207" s="2"/>
      <c r="E207" s="2"/>
      <c r="F207" s="2"/>
      <c r="G207" s="2"/>
      <c r="L207" s="2"/>
    </row>
    <row r="208" spans="1:12" x14ac:dyDescent="0.3">
      <c r="C208" s="2"/>
      <c r="D208" s="2"/>
      <c r="E208" s="2"/>
      <c r="F208" s="2"/>
      <c r="G208" s="2"/>
      <c r="L208" s="2"/>
    </row>
    <row r="209" spans="3:7" x14ac:dyDescent="0.3">
      <c r="C209" s="2"/>
      <c r="D209" s="2"/>
      <c r="E209" s="2"/>
      <c r="F209" s="2"/>
      <c r="G209" s="2"/>
    </row>
    <row r="210" spans="3:7" x14ac:dyDescent="0.3">
      <c r="C210" s="2"/>
      <c r="D210" s="2"/>
      <c r="E210" s="2"/>
      <c r="F210" s="2"/>
      <c r="G210" s="2"/>
    </row>
    <row r="211" spans="3:7" x14ac:dyDescent="0.3">
      <c r="C211" s="2"/>
      <c r="D211" s="2"/>
      <c r="E211" s="2"/>
      <c r="F211" s="2"/>
      <c r="G211" s="2"/>
    </row>
  </sheetData>
  <mergeCells count="19">
    <mergeCell ref="A165:A166"/>
    <mergeCell ref="B165:B166"/>
    <mergeCell ref="A175:A176"/>
    <mergeCell ref="B175:B176"/>
    <mergeCell ref="A188:A189"/>
    <mergeCell ref="B188:B189"/>
    <mergeCell ref="A53:A54"/>
    <mergeCell ref="B53:B54"/>
    <mergeCell ref="K53:K54"/>
    <mergeCell ref="A112:A113"/>
    <mergeCell ref="B112:B113"/>
    <mergeCell ref="K112:K113"/>
    <mergeCell ref="A1:I1"/>
    <mergeCell ref="A7:A8"/>
    <mergeCell ref="B7:B8"/>
    <mergeCell ref="K7:K8"/>
    <mergeCell ref="A38:A39"/>
    <mergeCell ref="B38:B39"/>
    <mergeCell ref="K38:K39"/>
  </mergeCells>
  <printOptions horizontalCentered="1"/>
  <pageMargins left="0.70866141732283472" right="0.70866141732283472" top="0.74803149606299213" bottom="0.74803149606299213" header="0.31496062992125984" footer="0.31496062992125984"/>
  <pageSetup paperSize="9" scale="54" fitToHeight="4" orientation="landscape" r:id="rId1"/>
  <headerFooter>
    <oddHeader>&amp;L&amp;F&amp;R&amp;A</oddHeader>
    <oddFooter>&amp;L&amp;D&amp;C&amp;P/&amp;N&amp;R&amp;T</oddFooter>
  </headerFooter>
  <rowBreaks count="3" manualBreakCount="3">
    <brk id="49" max="11" man="1"/>
    <brk id="110" max="16383" man="1"/>
    <brk id="150" max="16383" man="1"/>
  </rowBreaks>
  <ignoredErrors>
    <ignoredError sqref="D197:E197 C185:E187 G197 G184:G187 C189:E189 G189 D184:E184" formulaRange="1"/>
    <ignoredError sqref="I17"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pageSetUpPr fitToPage="1"/>
  </sheetPr>
  <dimension ref="A1:K198"/>
  <sheetViews>
    <sheetView showGridLines="0" view="pageBreakPreview" zoomScale="85" zoomScaleNormal="100" zoomScaleSheetLayoutView="85" workbookViewId="0">
      <selection sqref="A1:I1"/>
    </sheetView>
  </sheetViews>
  <sheetFormatPr baseColWidth="10" defaultColWidth="11.26953125" defaultRowHeight="13" x14ac:dyDescent="0.3"/>
  <cols>
    <col min="1" max="1" width="32.453125" style="2" customWidth="1"/>
    <col min="2" max="2" width="11.453125" style="2" customWidth="1"/>
    <col min="3" max="9" width="9.26953125" style="11" customWidth="1"/>
    <col min="10" max="10" width="6.7265625" style="2" customWidth="1"/>
    <col min="11" max="11" width="20.1796875" style="11" customWidth="1"/>
    <col min="12" max="16384" width="11.26953125" style="2"/>
  </cols>
  <sheetData>
    <row r="1" spans="1:11" ht="29.5" customHeight="1" x14ac:dyDescent="0.3">
      <c r="A1" s="679" t="s">
        <v>341</v>
      </c>
      <c r="B1" s="680"/>
      <c r="C1" s="680"/>
      <c r="D1" s="680"/>
      <c r="E1" s="680"/>
      <c r="F1" s="680"/>
      <c r="G1" s="680"/>
      <c r="H1" s="680"/>
      <c r="I1" s="681"/>
      <c r="K1" s="194" t="s">
        <v>289</v>
      </c>
    </row>
    <row r="2" spans="1:11" x14ac:dyDescent="0.3">
      <c r="C2" s="2"/>
      <c r="D2" s="2"/>
      <c r="E2" s="2"/>
      <c r="F2" s="2"/>
      <c r="G2" s="2"/>
      <c r="H2" s="2"/>
      <c r="I2" s="2"/>
    </row>
    <row r="3" spans="1:11" x14ac:dyDescent="0.3">
      <c r="A3" s="42" t="s">
        <v>69</v>
      </c>
      <c r="B3" s="43"/>
      <c r="C3" s="44"/>
      <c r="D3" s="44"/>
      <c r="E3" s="44"/>
      <c r="F3" s="44"/>
      <c r="G3" s="44"/>
      <c r="H3" s="44"/>
      <c r="I3" s="44"/>
      <c r="K3" s="2"/>
    </row>
    <row r="4" spans="1:11" customFormat="1" ht="14.5" x14ac:dyDescent="0.35">
      <c r="J4" s="2"/>
      <c r="K4" s="2"/>
    </row>
    <row r="5" spans="1:11" ht="26" x14ac:dyDescent="0.3">
      <c r="A5" s="653" t="s">
        <v>218</v>
      </c>
      <c r="B5" s="677"/>
      <c r="C5" s="3" t="str">
        <f>Annee0</f>
        <v>Année 0</v>
      </c>
      <c r="D5" s="3" t="str">
        <f>Annee1</f>
        <v>Année 1</v>
      </c>
      <c r="E5" s="3" t="str">
        <f>Annee2</f>
        <v>Année 2</v>
      </c>
      <c r="F5" s="516" t="str">
        <f>Annee3</f>
        <v>Année 3</v>
      </c>
      <c r="G5" s="541" t="str">
        <f>Annee4</f>
        <v>Année 4</v>
      </c>
      <c r="H5" s="181" t="s">
        <v>256</v>
      </c>
      <c r="I5" s="181" t="s">
        <v>59</v>
      </c>
      <c r="J5" s="11"/>
      <c r="K5" s="661" t="s">
        <v>290</v>
      </c>
    </row>
    <row r="6" spans="1:11" x14ac:dyDescent="0.3">
      <c r="A6" s="654"/>
      <c r="B6" s="678"/>
      <c r="C6" s="336">
        <v>12</v>
      </c>
      <c r="D6" s="336">
        <v>12</v>
      </c>
      <c r="E6" s="336">
        <v>12</v>
      </c>
      <c r="F6" s="556">
        <v>12</v>
      </c>
      <c r="G6" s="117">
        <v>12</v>
      </c>
      <c r="H6" s="200">
        <f>IFERROR(AVERAGE(C6:G6),0)</f>
        <v>12</v>
      </c>
      <c r="I6" s="200">
        <f>SUM(C6:G6)</f>
        <v>60</v>
      </c>
      <c r="J6" s="11"/>
      <c r="K6" s="674"/>
    </row>
    <row r="7" spans="1:11" x14ac:dyDescent="0.3">
      <c r="A7" s="36" t="s">
        <v>219</v>
      </c>
      <c r="B7" s="37"/>
      <c r="C7" s="496"/>
      <c r="D7" s="322">
        <v>100</v>
      </c>
      <c r="E7" s="322">
        <v>100</v>
      </c>
      <c r="F7" s="554">
        <v>120</v>
      </c>
      <c r="G7" s="323">
        <v>120</v>
      </c>
      <c r="H7" s="10">
        <f>IFERROR(AVERAGE(C7:G7),0)</f>
        <v>110</v>
      </c>
      <c r="I7" s="191">
        <f>SUM(C7:G7)</f>
        <v>440</v>
      </c>
      <c r="J7" s="6"/>
      <c r="K7" s="188"/>
    </row>
    <row r="8" spans="1:11" x14ac:dyDescent="0.3">
      <c r="A8" s="59" t="s">
        <v>100</v>
      </c>
      <c r="B8" s="79"/>
      <c r="C8" s="495"/>
      <c r="D8" s="325">
        <v>78000</v>
      </c>
      <c r="E8" s="325">
        <v>84000</v>
      </c>
      <c r="F8" s="325">
        <v>112950</v>
      </c>
      <c r="G8" s="326">
        <v>120480</v>
      </c>
      <c r="H8" s="16">
        <f>IFERROR(AVERAGE(C8:G8),0)</f>
        <v>98857.5</v>
      </c>
      <c r="I8" s="196">
        <f>SUM(C8:G8)</f>
        <v>395430</v>
      </c>
      <c r="K8" s="204"/>
    </row>
    <row r="9" spans="1:11" customFormat="1" ht="14.5" x14ac:dyDescent="0.35">
      <c r="F9" s="557"/>
      <c r="G9" s="557"/>
      <c r="J9" s="2"/>
    </row>
    <row r="10" spans="1:11" ht="14.5" x14ac:dyDescent="0.35">
      <c r="A10" s="42" t="s">
        <v>101</v>
      </c>
      <c r="B10" s="43"/>
      <c r="C10" s="44"/>
      <c r="D10" s="44"/>
      <c r="E10" s="44"/>
      <c r="F10" s="558"/>
      <c r="G10" s="558"/>
      <c r="H10" s="44"/>
      <c r="I10" s="44"/>
      <c r="K10"/>
    </row>
    <row r="11" spans="1:11" customFormat="1" ht="14.5" x14ac:dyDescent="0.35">
      <c r="F11" s="557"/>
      <c r="G11" s="557"/>
      <c r="J11" s="2"/>
    </row>
    <row r="12" spans="1:11" ht="26" x14ac:dyDescent="0.3">
      <c r="A12" s="653" t="s">
        <v>199</v>
      </c>
      <c r="B12" s="677" t="s">
        <v>343</v>
      </c>
      <c r="C12" s="3" t="str">
        <f>Annee0</f>
        <v>Année 0</v>
      </c>
      <c r="D12" s="3" t="str">
        <f>Annee1</f>
        <v>Année 1</v>
      </c>
      <c r="E12" s="3" t="str">
        <f>Annee2</f>
        <v>Année 2</v>
      </c>
      <c r="F12" s="516" t="str">
        <f>Annee3</f>
        <v>Année 3</v>
      </c>
      <c r="G12" s="541" t="str">
        <f>Annee4</f>
        <v>Année 4</v>
      </c>
      <c r="H12" s="181" t="s">
        <v>256</v>
      </c>
      <c r="I12" s="181" t="s">
        <v>59</v>
      </c>
      <c r="J12" s="5"/>
      <c r="K12" s="661" t="s">
        <v>290</v>
      </c>
    </row>
    <row r="13" spans="1:11" x14ac:dyDescent="0.3">
      <c r="A13" s="654"/>
      <c r="B13" s="678"/>
      <c r="C13" s="337">
        <v>12</v>
      </c>
      <c r="D13" s="337">
        <v>12</v>
      </c>
      <c r="E13" s="337">
        <v>12</v>
      </c>
      <c r="F13" s="337">
        <v>12</v>
      </c>
      <c r="G13" s="118">
        <v>12</v>
      </c>
      <c r="H13" s="200">
        <f t="shared" ref="H13:H19" si="0">IFERROR(AVERAGE(C13:G13),0)</f>
        <v>12</v>
      </c>
      <c r="I13" s="200">
        <f t="shared" ref="I13:I19" si="1">SUM(C13:G13)</f>
        <v>60</v>
      </c>
      <c r="K13" s="674"/>
    </row>
    <row r="14" spans="1:11" x14ac:dyDescent="0.3">
      <c r="A14" s="41" t="s">
        <v>276</v>
      </c>
      <c r="B14" s="37">
        <f>IFERROR(I14/I$7,"-")</f>
        <v>62.915909090909089</v>
      </c>
      <c r="C14" s="497"/>
      <c r="D14" s="319">
        <v>5200</v>
      </c>
      <c r="E14" s="319">
        <v>5600</v>
      </c>
      <c r="F14" s="553">
        <v>8979</v>
      </c>
      <c r="G14" s="321">
        <v>7904</v>
      </c>
      <c r="H14" s="10">
        <f t="shared" si="0"/>
        <v>6920.75</v>
      </c>
      <c r="I14" s="201">
        <f t="shared" si="1"/>
        <v>27683</v>
      </c>
      <c r="K14" s="188"/>
    </row>
    <row r="15" spans="1:11" x14ac:dyDescent="0.3">
      <c r="A15" s="41" t="s">
        <v>279</v>
      </c>
      <c r="B15" s="37">
        <f t="shared" ref="B15:B19" si="2">IFERROR(I15/I$7,"-")</f>
        <v>0</v>
      </c>
      <c r="C15" s="496"/>
      <c r="D15" s="322">
        <v>0</v>
      </c>
      <c r="E15" s="322">
        <v>0</v>
      </c>
      <c r="F15" s="554">
        <v>0</v>
      </c>
      <c r="G15" s="323">
        <v>0</v>
      </c>
      <c r="H15" s="14">
        <f t="shared" si="0"/>
        <v>0</v>
      </c>
      <c r="I15" s="39">
        <f t="shared" si="1"/>
        <v>0</v>
      </c>
      <c r="K15" s="189"/>
    </row>
    <row r="16" spans="1:11" x14ac:dyDescent="0.3">
      <c r="A16" s="338" t="s">
        <v>485</v>
      </c>
      <c r="B16" s="37">
        <f t="shared" si="2"/>
        <v>26.336363636363636</v>
      </c>
      <c r="C16" s="496"/>
      <c r="D16" s="322">
        <v>2897</v>
      </c>
      <c r="E16" s="322">
        <v>2897</v>
      </c>
      <c r="F16" s="554">
        <v>2897</v>
      </c>
      <c r="G16" s="323">
        <v>2897</v>
      </c>
      <c r="H16" s="14">
        <f t="shared" si="0"/>
        <v>2897</v>
      </c>
      <c r="I16" s="39">
        <f t="shared" si="1"/>
        <v>11588</v>
      </c>
      <c r="J16" s="5"/>
      <c r="K16" s="189"/>
    </row>
    <row r="17" spans="1:11" x14ac:dyDescent="0.3">
      <c r="A17" s="338" t="s">
        <v>497</v>
      </c>
      <c r="B17" s="37">
        <f t="shared" si="2"/>
        <v>18.981545454545458</v>
      </c>
      <c r="C17" s="496"/>
      <c r="D17" s="322">
        <v>2087.9700000000003</v>
      </c>
      <c r="E17" s="322">
        <v>2087.9700000000003</v>
      </c>
      <c r="F17" s="554">
        <v>2087.9700000000003</v>
      </c>
      <c r="G17" s="323">
        <v>2087.9700000000003</v>
      </c>
      <c r="H17" s="14">
        <f t="shared" si="0"/>
        <v>2087.9700000000003</v>
      </c>
      <c r="I17" s="39">
        <f t="shared" si="1"/>
        <v>8351.880000000001</v>
      </c>
      <c r="K17" s="189"/>
    </row>
    <row r="18" spans="1:11" x14ac:dyDescent="0.3">
      <c r="A18" s="338" t="s">
        <v>498</v>
      </c>
      <c r="B18" s="37">
        <f t="shared" si="2"/>
        <v>0</v>
      </c>
      <c r="C18" s="496"/>
      <c r="D18" s="322">
        <v>0</v>
      </c>
      <c r="E18" s="322">
        <v>0</v>
      </c>
      <c r="F18" s="554">
        <v>0</v>
      </c>
      <c r="G18" s="323">
        <v>0</v>
      </c>
      <c r="H18" s="16">
        <f t="shared" si="0"/>
        <v>0</v>
      </c>
      <c r="I18" s="39">
        <f t="shared" si="1"/>
        <v>0</v>
      </c>
      <c r="K18" s="189"/>
    </row>
    <row r="19" spans="1:11" x14ac:dyDescent="0.3">
      <c r="A19" s="18" t="s">
        <v>7</v>
      </c>
      <c r="B19" s="34">
        <f t="shared" si="2"/>
        <v>108.23381818181819</v>
      </c>
      <c r="C19" s="476"/>
      <c r="D19" s="19">
        <f t="shared" ref="D19:G19" si="3">SUM(D14:D18)</f>
        <v>10184.970000000001</v>
      </c>
      <c r="E19" s="19">
        <f t="shared" si="3"/>
        <v>10584.970000000001</v>
      </c>
      <c r="F19" s="19">
        <f t="shared" ref="F19" si="4">SUM(F14:F18)</f>
        <v>13963.970000000001</v>
      </c>
      <c r="G19" s="35">
        <f t="shared" si="3"/>
        <v>12888.970000000001</v>
      </c>
      <c r="H19" s="20">
        <f t="shared" si="0"/>
        <v>11905.720000000001</v>
      </c>
      <c r="I19" s="35">
        <f t="shared" si="1"/>
        <v>47622.880000000005</v>
      </c>
      <c r="K19" s="462" t="s">
        <v>295</v>
      </c>
    </row>
    <row r="20" spans="1:11" customFormat="1" ht="14.5" x14ac:dyDescent="0.35">
      <c r="F20" s="557"/>
      <c r="G20" s="557"/>
      <c r="J20" s="2"/>
      <c r="K20" s="2"/>
    </row>
    <row r="21" spans="1:11" ht="26" x14ac:dyDescent="0.3">
      <c r="A21" s="655" t="s">
        <v>83</v>
      </c>
      <c r="B21" s="677"/>
      <c r="C21" s="3" t="str">
        <f>Annee0</f>
        <v>Année 0</v>
      </c>
      <c r="D21" s="3" t="str">
        <f>Annee1</f>
        <v>Année 1</v>
      </c>
      <c r="E21" s="3" t="str">
        <f>Annee2</f>
        <v>Année 2</v>
      </c>
      <c r="F21" s="516" t="str">
        <f>Annee3</f>
        <v>Année 3</v>
      </c>
      <c r="G21" s="541" t="str">
        <f>Annee4</f>
        <v>Année 4</v>
      </c>
      <c r="H21" s="181" t="s">
        <v>256</v>
      </c>
      <c r="I21" s="181" t="s">
        <v>59</v>
      </c>
      <c r="K21" s="661" t="s">
        <v>290</v>
      </c>
    </row>
    <row r="22" spans="1:11" x14ac:dyDescent="0.3">
      <c r="A22" s="656"/>
      <c r="B22" s="678"/>
      <c r="C22" s="336">
        <v>12</v>
      </c>
      <c r="D22" s="336">
        <v>12</v>
      </c>
      <c r="E22" s="336">
        <v>12</v>
      </c>
      <c r="F22" s="556">
        <v>12</v>
      </c>
      <c r="G22" s="117">
        <v>12</v>
      </c>
      <c r="H22" s="200">
        <f>IFERROR(AVERAGE(C22:G22),0)</f>
        <v>12</v>
      </c>
      <c r="I22" s="200">
        <f>SUM(C22:G22)</f>
        <v>60</v>
      </c>
      <c r="K22" s="674"/>
    </row>
    <row r="23" spans="1:11" x14ac:dyDescent="0.3">
      <c r="A23" s="36" t="s">
        <v>277</v>
      </c>
      <c r="B23" s="37"/>
      <c r="C23" s="496"/>
      <c r="D23" s="322">
        <v>44588.353338433473</v>
      </c>
      <c r="E23" s="322">
        <v>44975.119984376302</v>
      </c>
      <c r="F23" s="554">
        <v>46568.075808699527</v>
      </c>
      <c r="G23" s="323">
        <v>42727.88006070476</v>
      </c>
      <c r="H23" s="10">
        <f>IFERROR(AVERAGE(C23:G23),0)</f>
        <v>44714.85729805351</v>
      </c>
      <c r="I23" s="201">
        <f>SUM(C23:G23)</f>
        <v>178859.42919221404</v>
      </c>
      <c r="K23" s="188"/>
    </row>
    <row r="24" spans="1:11" x14ac:dyDescent="0.3">
      <c r="A24" s="36" t="s">
        <v>278</v>
      </c>
      <c r="B24" s="37"/>
      <c r="C24" s="496"/>
      <c r="D24" s="322">
        <v>0</v>
      </c>
      <c r="E24" s="322">
        <v>0</v>
      </c>
      <c r="F24" s="554">
        <v>0</v>
      </c>
      <c r="G24" s="323">
        <v>0</v>
      </c>
      <c r="H24" s="14">
        <f>IFERROR(AVERAGE(C24:G24),0)</f>
        <v>0</v>
      </c>
      <c r="I24" s="39">
        <f>SUM(C24:G24)</f>
        <v>0</v>
      </c>
      <c r="K24" s="189"/>
    </row>
    <row r="25" spans="1:11" x14ac:dyDescent="0.3">
      <c r="A25" s="18" t="s">
        <v>7</v>
      </c>
      <c r="B25" s="34"/>
      <c r="C25" s="476"/>
      <c r="D25" s="19">
        <f t="shared" ref="D25:G25" si="5">SUM(D23:D24)</f>
        <v>44588.353338433473</v>
      </c>
      <c r="E25" s="19">
        <f t="shared" si="5"/>
        <v>44975.119984376302</v>
      </c>
      <c r="F25" s="19">
        <f t="shared" ref="F25" si="6">SUM(F23:F24)</f>
        <v>46568.075808699527</v>
      </c>
      <c r="G25" s="35">
        <f t="shared" si="5"/>
        <v>42727.88006070476</v>
      </c>
      <c r="H25" s="20">
        <f>IFERROR(AVERAGE(C25:G25),0)</f>
        <v>44714.85729805351</v>
      </c>
      <c r="I25" s="20">
        <f>SUM(C25:G25)</f>
        <v>178859.42919221404</v>
      </c>
      <c r="J25" s="5"/>
      <c r="K25" s="462" t="s">
        <v>427</v>
      </c>
    </row>
    <row r="26" spans="1:11" ht="14.5" x14ac:dyDescent="0.35">
      <c r="B26" s="40"/>
      <c r="K26"/>
    </row>
    <row r="27" spans="1:11" ht="14.5" x14ac:dyDescent="0.35">
      <c r="J27" s="11"/>
      <c r="K27"/>
    </row>
    <row r="28" spans="1:11" ht="14.5" x14ac:dyDescent="0.35">
      <c r="K28"/>
    </row>
    <row r="29" spans="1:11" ht="14.5" x14ac:dyDescent="0.35">
      <c r="K29"/>
    </row>
    <row r="30" spans="1:11" ht="14.5" x14ac:dyDescent="0.35">
      <c r="K30"/>
    </row>
    <row r="31" spans="1:11" ht="14.5" x14ac:dyDescent="0.35">
      <c r="K31"/>
    </row>
    <row r="32" spans="1:11" ht="14.5" x14ac:dyDescent="0.35">
      <c r="K32"/>
    </row>
    <row r="33" spans="11:11" ht="14.5" x14ac:dyDescent="0.35">
      <c r="K33"/>
    </row>
    <row r="34" spans="11:11" ht="14.5" x14ac:dyDescent="0.35">
      <c r="K34"/>
    </row>
    <row r="35" spans="11:11" ht="14.5" x14ac:dyDescent="0.35">
      <c r="K35"/>
    </row>
    <row r="36" spans="11:11" ht="14.5" x14ac:dyDescent="0.35">
      <c r="K36"/>
    </row>
    <row r="37" spans="11:11" ht="14.5" x14ac:dyDescent="0.35">
      <c r="K37"/>
    </row>
    <row r="38" spans="11:11" ht="14.5" x14ac:dyDescent="0.35">
      <c r="K38"/>
    </row>
    <row r="39" spans="11:11" ht="14.5" x14ac:dyDescent="0.35">
      <c r="K39"/>
    </row>
    <row r="40" spans="11:11" ht="14.5" x14ac:dyDescent="0.35">
      <c r="K40"/>
    </row>
    <row r="41" spans="11:11" ht="14.5" x14ac:dyDescent="0.35">
      <c r="K41"/>
    </row>
    <row r="42" spans="11:11" ht="14.5" x14ac:dyDescent="0.35">
      <c r="K42"/>
    </row>
    <row r="43" spans="11:11" ht="14.5" x14ac:dyDescent="0.35">
      <c r="K43"/>
    </row>
    <row r="44" spans="11:11" ht="14.5" x14ac:dyDescent="0.35">
      <c r="K44"/>
    </row>
    <row r="45" spans="11:11" ht="14.5" x14ac:dyDescent="0.35">
      <c r="K45"/>
    </row>
    <row r="46" spans="11:11" ht="14.5" x14ac:dyDescent="0.35">
      <c r="K46"/>
    </row>
    <row r="47" spans="11:11" ht="14.5" x14ac:dyDescent="0.35">
      <c r="K47"/>
    </row>
    <row r="48" spans="11:11" ht="14.5" x14ac:dyDescent="0.35">
      <c r="K48"/>
    </row>
    <row r="49" spans="11:11" ht="14.5" x14ac:dyDescent="0.35">
      <c r="K49"/>
    </row>
    <row r="50" spans="11:11" ht="14.5" x14ac:dyDescent="0.35">
      <c r="K50"/>
    </row>
    <row r="51" spans="11:11" ht="14.5" x14ac:dyDescent="0.35">
      <c r="K51"/>
    </row>
    <row r="52" spans="11:11" ht="14.5" x14ac:dyDescent="0.35">
      <c r="K52"/>
    </row>
    <row r="53" spans="11:11" ht="14.5" x14ac:dyDescent="0.35">
      <c r="K53"/>
    </row>
    <row r="54" spans="11:11" ht="14.5" x14ac:dyDescent="0.35">
      <c r="K54"/>
    </row>
    <row r="55" spans="11:11" ht="14.5" x14ac:dyDescent="0.35">
      <c r="K55"/>
    </row>
    <row r="56" spans="11:11" ht="14.5" x14ac:dyDescent="0.35">
      <c r="K56"/>
    </row>
    <row r="57" spans="11:11" ht="14.5" x14ac:dyDescent="0.35">
      <c r="K57"/>
    </row>
    <row r="58" spans="11:11" ht="14.5" x14ac:dyDescent="0.35">
      <c r="K58"/>
    </row>
    <row r="59" spans="11:11" ht="14.5" x14ac:dyDescent="0.35">
      <c r="K59"/>
    </row>
    <row r="60" spans="11:11" ht="14.5" x14ac:dyDescent="0.35">
      <c r="K60"/>
    </row>
    <row r="61" spans="11:11" ht="14.5" x14ac:dyDescent="0.35">
      <c r="K61"/>
    </row>
    <row r="62" spans="11:11" ht="14.5" x14ac:dyDescent="0.35">
      <c r="K62"/>
    </row>
    <row r="63" spans="11:11" ht="14.5" x14ac:dyDescent="0.35">
      <c r="K63"/>
    </row>
    <row r="64" spans="11:11" ht="14.5" x14ac:dyDescent="0.35">
      <c r="K64"/>
    </row>
    <row r="65" spans="11:11" ht="14.5" x14ac:dyDescent="0.35">
      <c r="K65"/>
    </row>
    <row r="66" spans="11:11" ht="14.5" x14ac:dyDescent="0.35">
      <c r="K66"/>
    </row>
    <row r="67" spans="11:11" ht="14.5" x14ac:dyDescent="0.35">
      <c r="K67"/>
    </row>
    <row r="68" spans="11:11" ht="14.5" x14ac:dyDescent="0.35">
      <c r="K68"/>
    </row>
    <row r="69" spans="11:11" ht="14.5" x14ac:dyDescent="0.35">
      <c r="K69"/>
    </row>
    <row r="70" spans="11:11" ht="14.5" x14ac:dyDescent="0.35">
      <c r="K70"/>
    </row>
    <row r="71" spans="11:11" ht="14.5" x14ac:dyDescent="0.35">
      <c r="K71"/>
    </row>
    <row r="72" spans="11:11" ht="14.5" x14ac:dyDescent="0.35">
      <c r="K72"/>
    </row>
    <row r="73" spans="11:11" ht="14.5" x14ac:dyDescent="0.35">
      <c r="K73"/>
    </row>
    <row r="74" spans="11:11" ht="14.5" x14ac:dyDescent="0.35">
      <c r="K74"/>
    </row>
    <row r="75" spans="11:11" ht="14.5" x14ac:dyDescent="0.35">
      <c r="K75"/>
    </row>
    <row r="76" spans="11:11" ht="14.5" x14ac:dyDescent="0.35">
      <c r="K76"/>
    </row>
    <row r="77" spans="11:11" ht="14.5" x14ac:dyDescent="0.35">
      <c r="K77"/>
    </row>
    <row r="78" spans="11:11" ht="14.5" x14ac:dyDescent="0.35">
      <c r="K78"/>
    </row>
    <row r="79" spans="11:11" ht="14.5" x14ac:dyDescent="0.35">
      <c r="K79"/>
    </row>
    <row r="80" spans="11:11" ht="14.5" x14ac:dyDescent="0.35">
      <c r="K80"/>
    </row>
    <row r="81" spans="11:11" ht="14.5" x14ac:dyDescent="0.35">
      <c r="K81"/>
    </row>
    <row r="82" spans="11:11" ht="14.5" x14ac:dyDescent="0.35">
      <c r="K82"/>
    </row>
    <row r="83" spans="11:11" ht="14.5" x14ac:dyDescent="0.35">
      <c r="K83"/>
    </row>
    <row r="84" spans="11:11" ht="14.5" x14ac:dyDescent="0.35">
      <c r="K84"/>
    </row>
    <row r="85" spans="11:11" ht="14.5" x14ac:dyDescent="0.35">
      <c r="K85"/>
    </row>
    <row r="86" spans="11:11" ht="14.5" x14ac:dyDescent="0.35">
      <c r="K86"/>
    </row>
    <row r="87" spans="11:11" ht="14.5" x14ac:dyDescent="0.35">
      <c r="K87"/>
    </row>
    <row r="88" spans="11:11" ht="14.5" x14ac:dyDescent="0.35">
      <c r="K88"/>
    </row>
    <row r="89" spans="11:11" ht="14.5" x14ac:dyDescent="0.35">
      <c r="K89"/>
    </row>
    <row r="90" spans="11:11" ht="14.5" x14ac:dyDescent="0.35">
      <c r="K90"/>
    </row>
    <row r="91" spans="11:11" ht="14.5" x14ac:dyDescent="0.35">
      <c r="K91"/>
    </row>
    <row r="92" spans="11:11" ht="14.5" x14ac:dyDescent="0.35">
      <c r="K92"/>
    </row>
    <row r="93" spans="11:11" ht="14.5" x14ac:dyDescent="0.35">
      <c r="K93"/>
    </row>
    <row r="94" spans="11:11" ht="14.5" x14ac:dyDescent="0.35">
      <c r="K94"/>
    </row>
    <row r="95" spans="11:11" ht="14.5" x14ac:dyDescent="0.35">
      <c r="K95"/>
    </row>
    <row r="96" spans="11:11" ht="14.5" x14ac:dyDescent="0.35">
      <c r="K96"/>
    </row>
    <row r="97" spans="11:11" ht="14.5" x14ac:dyDescent="0.35">
      <c r="K97"/>
    </row>
    <row r="98" spans="11:11" ht="14.5" x14ac:dyDescent="0.35">
      <c r="K98"/>
    </row>
    <row r="99" spans="11:11" ht="14.5" x14ac:dyDescent="0.35">
      <c r="K99"/>
    </row>
    <row r="100" spans="11:11" ht="14.5" x14ac:dyDescent="0.35">
      <c r="K100"/>
    </row>
    <row r="101" spans="11:11" ht="14.5" x14ac:dyDescent="0.35">
      <c r="K101"/>
    </row>
    <row r="102" spans="11:11" ht="14.5" x14ac:dyDescent="0.35">
      <c r="K102"/>
    </row>
    <row r="103" spans="11:11" ht="14.5" x14ac:dyDescent="0.35">
      <c r="K103"/>
    </row>
    <row r="104" spans="11:11" ht="14.5" x14ac:dyDescent="0.35">
      <c r="K104"/>
    </row>
    <row r="105" spans="11:11" ht="14.5" x14ac:dyDescent="0.35">
      <c r="K105"/>
    </row>
    <row r="106" spans="11:11" ht="14.5" x14ac:dyDescent="0.35">
      <c r="K106"/>
    </row>
    <row r="107" spans="11:11" ht="14.5" x14ac:dyDescent="0.35">
      <c r="K107"/>
    </row>
    <row r="108" spans="11:11" ht="14.5" x14ac:dyDescent="0.35">
      <c r="K108"/>
    </row>
    <row r="109" spans="11:11" ht="14.5" x14ac:dyDescent="0.35">
      <c r="K109"/>
    </row>
    <row r="110" spans="11:11" ht="14.5" x14ac:dyDescent="0.35">
      <c r="K110"/>
    </row>
    <row r="111" spans="11:11" ht="14.5" x14ac:dyDescent="0.35">
      <c r="K111"/>
    </row>
    <row r="112" spans="11:11" ht="14.5" x14ac:dyDescent="0.35">
      <c r="K112"/>
    </row>
    <row r="113" spans="11:11" ht="14.5" x14ac:dyDescent="0.35">
      <c r="K113"/>
    </row>
    <row r="114" spans="11:11" ht="14.5" x14ac:dyDescent="0.35">
      <c r="K114"/>
    </row>
    <row r="115" spans="11:11" ht="14.5" x14ac:dyDescent="0.35">
      <c r="K115"/>
    </row>
    <row r="116" spans="11:11" ht="14.5" x14ac:dyDescent="0.35">
      <c r="K116"/>
    </row>
    <row r="117" spans="11:11" ht="14.5" x14ac:dyDescent="0.35">
      <c r="K117"/>
    </row>
    <row r="118" spans="11:11" ht="14.5" x14ac:dyDescent="0.35">
      <c r="K118"/>
    </row>
    <row r="119" spans="11:11" ht="14.5" x14ac:dyDescent="0.35">
      <c r="K119"/>
    </row>
    <row r="120" spans="11:11" ht="14.5" x14ac:dyDescent="0.35">
      <c r="K120"/>
    </row>
    <row r="121" spans="11:11" ht="14.5" x14ac:dyDescent="0.35">
      <c r="K121"/>
    </row>
    <row r="122" spans="11:11" ht="14.5" x14ac:dyDescent="0.35">
      <c r="K122"/>
    </row>
    <row r="123" spans="11:11" ht="14.5" x14ac:dyDescent="0.35">
      <c r="K123"/>
    </row>
    <row r="124" spans="11:11" ht="14.5" x14ac:dyDescent="0.35">
      <c r="K124"/>
    </row>
    <row r="125" spans="11:11" ht="14.5" x14ac:dyDescent="0.35">
      <c r="K125"/>
    </row>
    <row r="126" spans="11:11" ht="14.5" x14ac:dyDescent="0.35">
      <c r="K126"/>
    </row>
    <row r="127" spans="11:11" ht="14.5" x14ac:dyDescent="0.35">
      <c r="K127"/>
    </row>
    <row r="128" spans="11:11" ht="14.5" x14ac:dyDescent="0.35">
      <c r="K128"/>
    </row>
    <row r="129" spans="11:11" ht="14.5" x14ac:dyDescent="0.35">
      <c r="K129"/>
    </row>
    <row r="130" spans="11:11" ht="14.5" x14ac:dyDescent="0.35">
      <c r="K130"/>
    </row>
    <row r="131" spans="11:11" ht="14.5" x14ac:dyDescent="0.35">
      <c r="K131"/>
    </row>
    <row r="132" spans="11:11" ht="14.5" x14ac:dyDescent="0.35">
      <c r="K132"/>
    </row>
    <row r="133" spans="11:11" ht="14.5" x14ac:dyDescent="0.35">
      <c r="K133"/>
    </row>
    <row r="134" spans="11:11" ht="14.5" x14ac:dyDescent="0.35">
      <c r="K134"/>
    </row>
    <row r="135" spans="11:11" ht="14.5" x14ac:dyDescent="0.35">
      <c r="K135"/>
    </row>
    <row r="136" spans="11:11" ht="14.5" x14ac:dyDescent="0.35">
      <c r="K136"/>
    </row>
    <row r="137" spans="11:11" ht="14.5" x14ac:dyDescent="0.35">
      <c r="K137"/>
    </row>
    <row r="138" spans="11:11" ht="14.5" x14ac:dyDescent="0.35">
      <c r="K138"/>
    </row>
    <row r="139" spans="11:11" ht="14.5" x14ac:dyDescent="0.35">
      <c r="K139"/>
    </row>
    <row r="140" spans="11:11" ht="14.5" x14ac:dyDescent="0.35">
      <c r="K140"/>
    </row>
    <row r="141" spans="11:11" ht="14.5" x14ac:dyDescent="0.35">
      <c r="K141"/>
    </row>
    <row r="142" spans="11:11" ht="14.5" x14ac:dyDescent="0.35">
      <c r="K142"/>
    </row>
    <row r="143" spans="11:11" ht="14.5" x14ac:dyDescent="0.35">
      <c r="K143"/>
    </row>
    <row r="144" spans="11:11" ht="14.5" x14ac:dyDescent="0.35">
      <c r="K144"/>
    </row>
    <row r="145" spans="11:11" ht="14.5" x14ac:dyDescent="0.35">
      <c r="K145"/>
    </row>
    <row r="146" spans="11:11" ht="14.5" x14ac:dyDescent="0.35">
      <c r="K146"/>
    </row>
    <row r="147" spans="11:11" ht="14.5" x14ac:dyDescent="0.35">
      <c r="K147"/>
    </row>
    <row r="148" spans="11:11" ht="14.5" x14ac:dyDescent="0.35">
      <c r="K148"/>
    </row>
    <row r="149" spans="11:11" ht="14.5" x14ac:dyDescent="0.35">
      <c r="K149"/>
    </row>
    <row r="150" spans="11:11" ht="14.5" x14ac:dyDescent="0.35">
      <c r="K150"/>
    </row>
    <row r="151" spans="11:11" ht="14.5" x14ac:dyDescent="0.35">
      <c r="K151"/>
    </row>
    <row r="152" spans="11:11" ht="14.5" x14ac:dyDescent="0.35">
      <c r="K152"/>
    </row>
    <row r="153" spans="11:11" ht="14.5" x14ac:dyDescent="0.35">
      <c r="K153"/>
    </row>
    <row r="154" spans="11:11" ht="14.5" x14ac:dyDescent="0.35">
      <c r="K154"/>
    </row>
    <row r="155" spans="11:11" ht="14.5" x14ac:dyDescent="0.35">
      <c r="K155"/>
    </row>
    <row r="156" spans="11:11" ht="14.5" x14ac:dyDescent="0.35">
      <c r="K156"/>
    </row>
    <row r="157" spans="11:11" ht="14.5" x14ac:dyDescent="0.35">
      <c r="K157"/>
    </row>
    <row r="158" spans="11:11" ht="14.5" x14ac:dyDescent="0.35">
      <c r="K158"/>
    </row>
    <row r="159" spans="11:11" ht="14.5" x14ac:dyDescent="0.35">
      <c r="K159"/>
    </row>
    <row r="160" spans="11:11" ht="14.5" x14ac:dyDescent="0.35">
      <c r="K160"/>
    </row>
    <row r="161" spans="11:11" ht="14.5" x14ac:dyDescent="0.35">
      <c r="K161"/>
    </row>
    <row r="162" spans="11:11" ht="14.5" x14ac:dyDescent="0.35">
      <c r="K162"/>
    </row>
    <row r="163" spans="11:11" ht="14.5" x14ac:dyDescent="0.35">
      <c r="K163"/>
    </row>
    <row r="164" spans="11:11" ht="14.5" x14ac:dyDescent="0.35">
      <c r="K164"/>
    </row>
    <row r="165" spans="11:11" ht="14.5" x14ac:dyDescent="0.35">
      <c r="K165"/>
    </row>
    <row r="166" spans="11:11" ht="14.5" x14ac:dyDescent="0.35">
      <c r="K166"/>
    </row>
    <row r="167" spans="11:11" ht="14.5" x14ac:dyDescent="0.35">
      <c r="K167"/>
    </row>
    <row r="168" spans="11:11" ht="14.5" x14ac:dyDescent="0.35">
      <c r="K168"/>
    </row>
    <row r="169" spans="11:11" ht="14.5" x14ac:dyDescent="0.35">
      <c r="K169"/>
    </row>
    <row r="170" spans="11:11" ht="14.5" x14ac:dyDescent="0.35">
      <c r="K170"/>
    </row>
    <row r="171" spans="11:11" ht="14.5" x14ac:dyDescent="0.35">
      <c r="K171"/>
    </row>
    <row r="172" spans="11:11" ht="14.5" x14ac:dyDescent="0.35">
      <c r="K172"/>
    </row>
    <row r="173" spans="11:11" ht="14.5" x14ac:dyDescent="0.35">
      <c r="K173"/>
    </row>
    <row r="174" spans="11:11" ht="14.5" x14ac:dyDescent="0.35">
      <c r="K174"/>
    </row>
    <row r="175" spans="11:11" ht="14.5" x14ac:dyDescent="0.35">
      <c r="K175"/>
    </row>
    <row r="176" spans="11:11" ht="14.5" x14ac:dyDescent="0.35">
      <c r="K176"/>
    </row>
    <row r="177" spans="11:11" ht="14.5" x14ac:dyDescent="0.35">
      <c r="K177"/>
    </row>
    <row r="178" spans="11:11" ht="14.5" x14ac:dyDescent="0.35">
      <c r="K178"/>
    </row>
    <row r="179" spans="11:11" ht="14.5" x14ac:dyDescent="0.35">
      <c r="K179"/>
    </row>
    <row r="180" spans="11:11" ht="14.5" x14ac:dyDescent="0.35">
      <c r="K180"/>
    </row>
    <row r="181" spans="11:11" ht="14.5" x14ac:dyDescent="0.35">
      <c r="K181"/>
    </row>
    <row r="182" spans="11:11" ht="14.5" x14ac:dyDescent="0.35">
      <c r="K182"/>
    </row>
    <row r="183" spans="11:11" ht="14.5" x14ac:dyDescent="0.35">
      <c r="K183"/>
    </row>
    <row r="184" spans="11:11" ht="14.5" x14ac:dyDescent="0.35">
      <c r="K184"/>
    </row>
    <row r="185" spans="11:11" ht="14.5" x14ac:dyDescent="0.35">
      <c r="K185"/>
    </row>
    <row r="186" spans="11:11" ht="14.5" x14ac:dyDescent="0.35">
      <c r="K186"/>
    </row>
    <row r="187" spans="11:11" ht="14.5" x14ac:dyDescent="0.35">
      <c r="K187"/>
    </row>
    <row r="188" spans="11:11" ht="14.5" x14ac:dyDescent="0.35">
      <c r="K188"/>
    </row>
    <row r="189" spans="11:11" ht="14.5" x14ac:dyDescent="0.35">
      <c r="K189"/>
    </row>
    <row r="190" spans="11:11" ht="14.5" x14ac:dyDescent="0.35">
      <c r="K190"/>
    </row>
    <row r="191" spans="11:11" ht="14.5" x14ac:dyDescent="0.35">
      <c r="K191"/>
    </row>
    <row r="192" spans="11:11" ht="14.5" x14ac:dyDescent="0.35">
      <c r="K192"/>
    </row>
    <row r="193" spans="11:11" ht="14.5" x14ac:dyDescent="0.35">
      <c r="K193"/>
    </row>
    <row r="194" spans="11:11" ht="14.5" x14ac:dyDescent="0.35">
      <c r="K194"/>
    </row>
    <row r="195" spans="11:11" ht="14.5" x14ac:dyDescent="0.35">
      <c r="K195"/>
    </row>
    <row r="196" spans="11:11" ht="14.5" x14ac:dyDescent="0.35">
      <c r="K196"/>
    </row>
    <row r="197" spans="11:11" ht="14.5" x14ac:dyDescent="0.35">
      <c r="K197"/>
    </row>
    <row r="198" spans="11:11" ht="14.5" x14ac:dyDescent="0.35">
      <c r="K198"/>
    </row>
  </sheetData>
  <mergeCells count="10">
    <mergeCell ref="A1:I1"/>
    <mergeCell ref="A21:A22"/>
    <mergeCell ref="B21:B22"/>
    <mergeCell ref="A12:A13"/>
    <mergeCell ref="B12:B13"/>
    <mergeCell ref="K5:K6"/>
    <mergeCell ref="K12:K13"/>
    <mergeCell ref="K21:K22"/>
    <mergeCell ref="A5:A6"/>
    <mergeCell ref="B5:B6"/>
  </mergeCells>
  <phoneticPr fontId="20" type="noConversion"/>
  <printOptions horizontalCentered="1"/>
  <pageMargins left="0.70866141732283472" right="0.70866141732283472" top="0.74803149606299213" bottom="0.74803149606299213" header="0.31496062992125984" footer="0.31496062992125984"/>
  <pageSetup paperSize="9" scale="96" fitToHeight="3" orientation="landscape" r:id="rId1"/>
  <headerFooter>
    <oddHeader>&amp;L&amp;F&amp;R&amp;A</oddHeader>
    <oddFooter>&amp;L&amp;D&amp;C&amp;P/&amp;N&amp;R&amp;T</oddFooter>
  </headerFooter>
  <ignoredErrors>
    <ignoredError sqref="D19:E19 D25:E25 G19 G25"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sheetPr>
  <dimension ref="A1:L162"/>
  <sheetViews>
    <sheetView showGridLines="0" view="pageBreakPreview" zoomScale="85" zoomScaleNormal="90" zoomScaleSheetLayoutView="85" workbookViewId="0">
      <selection sqref="A1:I1"/>
    </sheetView>
  </sheetViews>
  <sheetFormatPr baseColWidth="10" defaultColWidth="11.26953125" defaultRowHeight="13" x14ac:dyDescent="0.3"/>
  <cols>
    <col min="1" max="1" width="32.453125" style="2" customWidth="1"/>
    <col min="2" max="2" width="10.26953125" style="2" customWidth="1"/>
    <col min="3" max="9" width="10.26953125" style="11" customWidth="1"/>
    <col min="10" max="10" width="11.26953125" style="2"/>
    <col min="11" max="11" width="18.54296875" style="11" customWidth="1"/>
    <col min="12" max="16384" width="11.26953125" style="2"/>
  </cols>
  <sheetData>
    <row r="1" spans="1:11" ht="25.9" customHeight="1" x14ac:dyDescent="0.3">
      <c r="A1" s="658" t="s">
        <v>342</v>
      </c>
      <c r="B1" s="659"/>
      <c r="C1" s="659"/>
      <c r="D1" s="659"/>
      <c r="E1" s="659"/>
      <c r="F1" s="659"/>
      <c r="G1" s="659"/>
      <c r="H1" s="659"/>
      <c r="I1" s="660"/>
      <c r="K1" s="194" t="s">
        <v>289</v>
      </c>
    </row>
    <row r="2" spans="1:11" x14ac:dyDescent="0.3">
      <c r="C2" s="2"/>
      <c r="D2" s="2"/>
      <c r="E2" s="2"/>
      <c r="F2" s="2"/>
      <c r="G2" s="2"/>
      <c r="H2" s="2"/>
      <c r="I2" s="2"/>
    </row>
    <row r="3" spans="1:11" x14ac:dyDescent="0.3">
      <c r="A3" s="21" t="s">
        <v>72</v>
      </c>
      <c r="B3" s="155"/>
      <c r="C3" s="155"/>
      <c r="D3" s="155"/>
      <c r="E3" s="155"/>
      <c r="F3" s="155"/>
      <c r="G3" s="155"/>
      <c r="H3" s="155"/>
      <c r="I3" s="156"/>
      <c r="K3" s="2"/>
    </row>
    <row r="4" spans="1:11" x14ac:dyDescent="0.3">
      <c r="K4" s="2"/>
    </row>
    <row r="5" spans="1:11" x14ac:dyDescent="0.3">
      <c r="A5" s="42" t="s">
        <v>69</v>
      </c>
      <c r="B5" s="43"/>
      <c r="C5" s="44"/>
      <c r="D5" s="44"/>
      <c r="E5" s="44"/>
      <c r="F5" s="44"/>
      <c r="G5" s="44"/>
      <c r="H5" s="44"/>
      <c r="I5" s="44"/>
    </row>
    <row r="6" spans="1:11" x14ac:dyDescent="0.3">
      <c r="C6" s="2"/>
      <c r="D6" s="2"/>
      <c r="E6" s="2"/>
      <c r="F6" s="2"/>
      <c r="G6" s="2"/>
      <c r="H6" s="2"/>
      <c r="I6" s="2"/>
    </row>
    <row r="7" spans="1:11" ht="27.65" customHeight="1" x14ac:dyDescent="0.3">
      <c r="A7" s="666" t="s">
        <v>169</v>
      </c>
      <c r="B7" s="655"/>
      <c r="C7" s="3" t="str">
        <f>Annee0</f>
        <v>Année 0</v>
      </c>
      <c r="D7" s="3" t="str">
        <f>Annee1</f>
        <v>Année 1</v>
      </c>
      <c r="E7" s="3" t="str">
        <f>Annee2</f>
        <v>Année 2</v>
      </c>
      <c r="F7" s="516" t="str">
        <f>Annee3</f>
        <v>Année 3</v>
      </c>
      <c r="G7" s="541" t="str">
        <f>Annee4</f>
        <v>Année 4</v>
      </c>
      <c r="H7" s="181" t="s">
        <v>256</v>
      </c>
      <c r="I7" s="181" t="s">
        <v>59</v>
      </c>
      <c r="K7" s="661" t="s">
        <v>290</v>
      </c>
    </row>
    <row r="8" spans="1:11" x14ac:dyDescent="0.3">
      <c r="A8" s="667"/>
      <c r="B8" s="656"/>
      <c r="C8" s="77">
        <v>12</v>
      </c>
      <c r="D8" s="77">
        <v>12</v>
      </c>
      <c r="E8" s="77">
        <v>12</v>
      </c>
      <c r="F8" s="77">
        <v>12</v>
      </c>
      <c r="G8" s="183">
        <v>12</v>
      </c>
      <c r="H8" s="192">
        <f>IFERROR(AVERAGE(C8:G8),0)</f>
        <v>12</v>
      </c>
      <c r="I8" s="192">
        <f>SUM(C8:G8)</f>
        <v>60</v>
      </c>
      <c r="K8" s="674"/>
    </row>
    <row r="9" spans="1:11" x14ac:dyDescent="0.3">
      <c r="A9" s="59" t="s">
        <v>291</v>
      </c>
      <c r="B9" s="79"/>
      <c r="C9" s="495"/>
      <c r="D9" s="325">
        <v>900000</v>
      </c>
      <c r="E9" s="325">
        <v>900000</v>
      </c>
      <c r="F9" s="325">
        <v>900000</v>
      </c>
      <c r="G9" s="326">
        <v>900000</v>
      </c>
      <c r="H9" s="198">
        <f>IFERROR(AVERAGE(C9:G9),0)</f>
        <v>900000</v>
      </c>
      <c r="I9" s="199">
        <f>SUM(C9:G9)</f>
        <v>3600000</v>
      </c>
      <c r="K9" s="190"/>
    </row>
    <row r="10" spans="1:11" ht="14.5" x14ac:dyDescent="0.35">
      <c r="C10" s="2"/>
      <c r="D10" s="2"/>
      <c r="E10" s="2"/>
      <c r="F10" s="559"/>
      <c r="G10" s="559"/>
      <c r="H10" s="2"/>
      <c r="I10" s="2"/>
      <c r="K10"/>
    </row>
    <row r="11" spans="1:11" ht="28.9" customHeight="1" x14ac:dyDescent="0.3">
      <c r="A11" s="666" t="s">
        <v>158</v>
      </c>
      <c r="B11" s="655"/>
      <c r="C11" s="3" t="str">
        <f>Annee0</f>
        <v>Année 0</v>
      </c>
      <c r="D11" s="3" t="str">
        <f>Annee1</f>
        <v>Année 1</v>
      </c>
      <c r="E11" s="3" t="str">
        <f>Annee2</f>
        <v>Année 2</v>
      </c>
      <c r="F11" s="516" t="str">
        <f>Annee3</f>
        <v>Année 3</v>
      </c>
      <c r="G11" s="541" t="str">
        <f>Annee4</f>
        <v>Année 4</v>
      </c>
      <c r="H11" s="181" t="s">
        <v>256</v>
      </c>
      <c r="I11" s="181" t="s">
        <v>59</v>
      </c>
      <c r="K11" s="661" t="s">
        <v>290</v>
      </c>
    </row>
    <row r="12" spans="1:11" x14ac:dyDescent="0.3">
      <c r="A12" s="667"/>
      <c r="B12" s="656"/>
      <c r="C12" s="77">
        <v>12</v>
      </c>
      <c r="D12" s="77">
        <v>12</v>
      </c>
      <c r="E12" s="77">
        <v>12</v>
      </c>
      <c r="F12" s="77">
        <v>12</v>
      </c>
      <c r="G12" s="77">
        <v>12</v>
      </c>
      <c r="H12" s="192">
        <f>IFERROR(AVERAGE(C12:G12),0)</f>
        <v>12</v>
      </c>
      <c r="I12" s="192">
        <f>SUM(C12:G12)</f>
        <v>60</v>
      </c>
      <c r="K12" s="674"/>
    </row>
    <row r="13" spans="1:11" x14ac:dyDescent="0.3">
      <c r="A13" s="36" t="s">
        <v>430</v>
      </c>
      <c r="B13" s="37"/>
      <c r="C13" s="493"/>
      <c r="D13" s="341">
        <v>45</v>
      </c>
      <c r="E13" s="341">
        <v>45</v>
      </c>
      <c r="F13" s="341">
        <v>45</v>
      </c>
      <c r="G13" s="342">
        <v>45</v>
      </c>
      <c r="H13" s="39">
        <f>IFERROR(AVERAGE(C13:G13),0)</f>
        <v>45</v>
      </c>
      <c r="I13" s="39">
        <f>SUM(C13:G13)</f>
        <v>180</v>
      </c>
      <c r="K13" s="188"/>
    </row>
    <row r="14" spans="1:11" x14ac:dyDescent="0.3">
      <c r="A14" s="18" t="s">
        <v>7</v>
      </c>
      <c r="B14" s="34"/>
      <c r="C14" s="476"/>
      <c r="D14" s="19">
        <f t="shared" ref="D14:G14" si="0">SUM(D13:D13)</f>
        <v>45</v>
      </c>
      <c r="E14" s="19">
        <f t="shared" si="0"/>
        <v>45</v>
      </c>
      <c r="F14" s="19">
        <f t="shared" ref="F14" si="1">SUM(F13:F13)</f>
        <v>45</v>
      </c>
      <c r="G14" s="35">
        <f t="shared" si="0"/>
        <v>45</v>
      </c>
      <c r="H14" s="35">
        <f>IFERROR(AVERAGE(C14:G14),0)</f>
        <v>45</v>
      </c>
      <c r="I14" s="35">
        <f>SUM(C14:G14)</f>
        <v>180</v>
      </c>
      <c r="K14" s="197"/>
    </row>
    <row r="15" spans="1:11" x14ac:dyDescent="0.3">
      <c r="C15" s="2"/>
      <c r="D15" s="2"/>
      <c r="E15" s="2"/>
      <c r="F15" s="559"/>
      <c r="G15" s="559"/>
      <c r="H15" s="2"/>
      <c r="I15" s="2"/>
      <c r="K15" s="2"/>
    </row>
    <row r="16" spans="1:11" x14ac:dyDescent="0.3">
      <c r="A16" s="42" t="s">
        <v>431</v>
      </c>
      <c r="B16" s="43"/>
      <c r="C16" s="44"/>
      <c r="D16" s="44"/>
      <c r="E16" s="44"/>
      <c r="F16" s="558"/>
      <c r="G16" s="558"/>
      <c r="H16" s="44"/>
      <c r="I16" s="44"/>
    </row>
    <row r="17" spans="1:12" x14ac:dyDescent="0.3">
      <c r="C17" s="2"/>
      <c r="D17" s="2"/>
      <c r="E17" s="2"/>
      <c r="F17" s="559"/>
      <c r="G17" s="559"/>
      <c r="H17" s="2"/>
      <c r="I17" s="2"/>
    </row>
    <row r="18" spans="1:12" ht="29.5" customHeight="1" x14ac:dyDescent="0.3">
      <c r="A18" s="666" t="s">
        <v>344</v>
      </c>
      <c r="B18" s="655" t="s">
        <v>338</v>
      </c>
      <c r="C18" s="3" t="str">
        <f>Annee0</f>
        <v>Année 0</v>
      </c>
      <c r="D18" s="3" t="str">
        <f>Annee1</f>
        <v>Année 1</v>
      </c>
      <c r="E18" s="3" t="str">
        <f>Annee2</f>
        <v>Année 2</v>
      </c>
      <c r="F18" s="516" t="str">
        <f>Annee3</f>
        <v>Année 3</v>
      </c>
      <c r="G18" s="541" t="str">
        <f>Annee4</f>
        <v>Année 4</v>
      </c>
      <c r="H18" s="181" t="s">
        <v>256</v>
      </c>
      <c r="I18" s="181" t="s">
        <v>59</v>
      </c>
      <c r="K18" s="661" t="s">
        <v>290</v>
      </c>
    </row>
    <row r="19" spans="1:12" ht="14.5" customHeight="1" x14ac:dyDescent="0.3">
      <c r="A19" s="669"/>
      <c r="B19" s="656"/>
      <c r="C19" s="77">
        <v>12</v>
      </c>
      <c r="D19" s="77">
        <v>12</v>
      </c>
      <c r="E19" s="77">
        <v>12</v>
      </c>
      <c r="F19" s="77">
        <v>12</v>
      </c>
      <c r="G19" s="77">
        <v>12</v>
      </c>
      <c r="H19" s="192">
        <f>IFERROR(AVERAGE(C19:G19),0)</f>
        <v>12</v>
      </c>
      <c r="I19" s="192">
        <f>SUM(C19:G19)</f>
        <v>60</v>
      </c>
      <c r="K19" s="662"/>
    </row>
    <row r="20" spans="1:12" x14ac:dyDescent="0.3">
      <c r="A20" s="36" t="s">
        <v>65</v>
      </c>
      <c r="B20" s="37">
        <f>IFERROR(I20/I$13,"-")</f>
        <v>1345.8600000000004</v>
      </c>
      <c r="C20" s="493"/>
      <c r="D20" s="341">
        <v>60563.700000000012</v>
      </c>
      <c r="E20" s="341">
        <v>60563.700000000012</v>
      </c>
      <c r="F20" s="341">
        <v>60563.700000000012</v>
      </c>
      <c r="G20" s="342">
        <v>60563.700000000012</v>
      </c>
      <c r="H20" s="39">
        <f>IFERROR(AVERAGE(C20:G20),0)</f>
        <v>60563.700000000012</v>
      </c>
      <c r="I20" s="39">
        <f>SUM(C20:G20)</f>
        <v>242254.80000000005</v>
      </c>
      <c r="K20" s="463" t="s">
        <v>293</v>
      </c>
    </row>
    <row r="21" spans="1:12" x14ac:dyDescent="0.3">
      <c r="A21" s="36" t="s">
        <v>200</v>
      </c>
      <c r="B21" s="37">
        <f t="shared" ref="B21:B22" si="2">IFERROR(I21/I$13,"-")</f>
        <v>354</v>
      </c>
      <c r="C21" s="494"/>
      <c r="D21" s="322">
        <v>15930</v>
      </c>
      <c r="E21" s="322">
        <v>15930</v>
      </c>
      <c r="F21" s="554">
        <v>15930</v>
      </c>
      <c r="G21" s="323">
        <v>15930</v>
      </c>
      <c r="H21" s="39">
        <f>IFERROR(AVERAGE(C21:G21),0)</f>
        <v>15930</v>
      </c>
      <c r="I21" s="39">
        <f>SUM(C21:G21)</f>
        <v>63720</v>
      </c>
      <c r="K21" s="249" t="s">
        <v>295</v>
      </c>
    </row>
    <row r="22" spans="1:12" x14ac:dyDescent="0.3">
      <c r="A22" s="36" t="s">
        <v>71</v>
      </c>
      <c r="B22" s="37">
        <f t="shared" si="2"/>
        <v>200</v>
      </c>
      <c r="C22" s="494"/>
      <c r="D22" s="322">
        <v>9000</v>
      </c>
      <c r="E22" s="322">
        <v>9000</v>
      </c>
      <c r="F22" s="554">
        <v>9000</v>
      </c>
      <c r="G22" s="323">
        <v>9000</v>
      </c>
      <c r="H22" s="39">
        <f>IFERROR(AVERAGE(C22:G22),0)</f>
        <v>9000</v>
      </c>
      <c r="I22" s="39">
        <f>SUM(C22:G22)</f>
        <v>36000</v>
      </c>
      <c r="K22" s="464" t="s">
        <v>295</v>
      </c>
    </row>
    <row r="23" spans="1:12" x14ac:dyDescent="0.3">
      <c r="A23" s="18" t="s">
        <v>7</v>
      </c>
      <c r="B23" s="34">
        <f>IFERROR(I23/I$14,"-")</f>
        <v>1899.8600000000004</v>
      </c>
      <c r="C23" s="476"/>
      <c r="D23" s="19">
        <f t="shared" ref="D23:G23" si="3">SUM(D20:D22)</f>
        <v>85493.700000000012</v>
      </c>
      <c r="E23" s="19">
        <f t="shared" si="3"/>
        <v>85493.700000000012</v>
      </c>
      <c r="F23" s="19">
        <f t="shared" ref="F23" si="4">SUM(F20:F22)</f>
        <v>85493.700000000012</v>
      </c>
      <c r="G23" s="35">
        <f t="shared" si="3"/>
        <v>85493.700000000012</v>
      </c>
      <c r="H23" s="35">
        <f>IFERROR(AVERAGE(C23:G23),0)</f>
        <v>85493.700000000012</v>
      </c>
      <c r="I23" s="35">
        <f>SUM(C23:G23)</f>
        <v>341974.80000000005</v>
      </c>
      <c r="K23" s="197"/>
    </row>
    <row r="24" spans="1:12" ht="14.5" x14ac:dyDescent="0.35">
      <c r="K24"/>
    </row>
    <row r="25" spans="1:12" ht="14.5" x14ac:dyDescent="0.35">
      <c r="K25"/>
    </row>
    <row r="26" spans="1:12" ht="14.5" x14ac:dyDescent="0.35">
      <c r="J26" s="11"/>
      <c r="K26" s="2"/>
      <c r="L26"/>
    </row>
    <row r="27" spans="1:12" ht="14.5" x14ac:dyDescent="0.35">
      <c r="J27" s="11"/>
      <c r="K27" s="2"/>
      <c r="L27"/>
    </row>
    <row r="28" spans="1:12" ht="14.5" x14ac:dyDescent="0.35">
      <c r="J28" s="11"/>
      <c r="K28" s="2"/>
      <c r="L28"/>
    </row>
    <row r="29" spans="1:12" ht="14.5" x14ac:dyDescent="0.35">
      <c r="J29" s="11"/>
      <c r="K29" s="2"/>
      <c r="L29"/>
    </row>
    <row r="30" spans="1:12" ht="14.5" x14ac:dyDescent="0.35">
      <c r="J30" s="11"/>
      <c r="K30" s="2"/>
      <c r="L30"/>
    </row>
    <row r="31" spans="1:12" ht="14.5" x14ac:dyDescent="0.35">
      <c r="J31" s="11"/>
      <c r="K31" s="2"/>
      <c r="L31"/>
    </row>
    <row r="32" spans="1:12" ht="14.5" x14ac:dyDescent="0.35">
      <c r="J32" s="11"/>
      <c r="K32" s="2"/>
      <c r="L32"/>
    </row>
    <row r="33" spans="10:12" ht="14.5" x14ac:dyDescent="0.35">
      <c r="J33" s="11"/>
      <c r="K33" s="2"/>
      <c r="L33"/>
    </row>
    <row r="34" spans="10:12" ht="14.5" x14ac:dyDescent="0.35">
      <c r="J34" s="11"/>
      <c r="K34" s="2"/>
      <c r="L34"/>
    </row>
    <row r="35" spans="10:12" ht="14.5" x14ac:dyDescent="0.35">
      <c r="K35"/>
    </row>
    <row r="36" spans="10:12" ht="14.5" x14ac:dyDescent="0.35">
      <c r="K36"/>
    </row>
    <row r="37" spans="10:12" ht="14.5" x14ac:dyDescent="0.35">
      <c r="K37"/>
    </row>
    <row r="38" spans="10:12" ht="14.5" x14ac:dyDescent="0.35">
      <c r="K38"/>
    </row>
    <row r="39" spans="10:12" ht="14.5" x14ac:dyDescent="0.35">
      <c r="K39"/>
    </row>
    <row r="40" spans="10:12" ht="14.5" x14ac:dyDescent="0.35">
      <c r="K40"/>
    </row>
    <row r="41" spans="10:12" ht="14.5" x14ac:dyDescent="0.35">
      <c r="K41"/>
    </row>
    <row r="42" spans="10:12" ht="14.5" x14ac:dyDescent="0.35">
      <c r="K42"/>
    </row>
    <row r="43" spans="10:12" ht="14.5" x14ac:dyDescent="0.35">
      <c r="K43"/>
    </row>
    <row r="44" spans="10:12" ht="14.5" x14ac:dyDescent="0.35">
      <c r="K44"/>
    </row>
    <row r="45" spans="10:12" ht="14.5" x14ac:dyDescent="0.35">
      <c r="K45"/>
    </row>
    <row r="46" spans="10:12" ht="14.5" x14ac:dyDescent="0.35">
      <c r="K46"/>
    </row>
    <row r="47" spans="10:12" ht="14.5" x14ac:dyDescent="0.35">
      <c r="K47"/>
    </row>
    <row r="48" spans="10:12" ht="14.5" x14ac:dyDescent="0.35">
      <c r="K48"/>
    </row>
    <row r="49" spans="11:11" ht="14.5" x14ac:dyDescent="0.35">
      <c r="K49"/>
    </row>
    <row r="50" spans="11:11" ht="14.5" x14ac:dyDescent="0.35">
      <c r="K50"/>
    </row>
    <row r="51" spans="11:11" ht="14.5" x14ac:dyDescent="0.35">
      <c r="K51"/>
    </row>
    <row r="52" spans="11:11" ht="14.5" x14ac:dyDescent="0.35">
      <c r="K52"/>
    </row>
    <row r="53" spans="11:11" ht="14.5" x14ac:dyDescent="0.35">
      <c r="K53"/>
    </row>
    <row r="54" spans="11:11" ht="14.5" x14ac:dyDescent="0.35">
      <c r="K54"/>
    </row>
    <row r="55" spans="11:11" ht="14.5" x14ac:dyDescent="0.35">
      <c r="K55"/>
    </row>
    <row r="56" spans="11:11" ht="14.5" x14ac:dyDescent="0.35">
      <c r="K56"/>
    </row>
    <row r="57" spans="11:11" ht="14.5" x14ac:dyDescent="0.35">
      <c r="K57"/>
    </row>
    <row r="58" spans="11:11" ht="14.5" x14ac:dyDescent="0.35">
      <c r="K58"/>
    </row>
    <row r="59" spans="11:11" ht="14.5" x14ac:dyDescent="0.35">
      <c r="K59"/>
    </row>
    <row r="60" spans="11:11" ht="14.5" x14ac:dyDescent="0.35">
      <c r="K60"/>
    </row>
    <row r="61" spans="11:11" ht="14.5" x14ac:dyDescent="0.35">
      <c r="K61"/>
    </row>
    <row r="62" spans="11:11" ht="14.5" x14ac:dyDescent="0.35">
      <c r="K62"/>
    </row>
    <row r="63" spans="11:11" ht="14.5" x14ac:dyDescent="0.35">
      <c r="K63"/>
    </row>
    <row r="64" spans="11:11" ht="14.5" x14ac:dyDescent="0.35">
      <c r="K64"/>
    </row>
    <row r="65" spans="11:11" ht="14.5" x14ac:dyDescent="0.35">
      <c r="K65"/>
    </row>
    <row r="66" spans="11:11" ht="14.5" x14ac:dyDescent="0.35">
      <c r="K66"/>
    </row>
    <row r="67" spans="11:11" ht="14.5" x14ac:dyDescent="0.35">
      <c r="K67"/>
    </row>
    <row r="68" spans="11:11" ht="14.5" x14ac:dyDescent="0.35">
      <c r="K68"/>
    </row>
    <row r="69" spans="11:11" ht="14.5" x14ac:dyDescent="0.35">
      <c r="K69"/>
    </row>
    <row r="70" spans="11:11" ht="14.5" x14ac:dyDescent="0.35">
      <c r="K70"/>
    </row>
    <row r="71" spans="11:11" ht="14.5" x14ac:dyDescent="0.35">
      <c r="K71"/>
    </row>
    <row r="72" spans="11:11" ht="14.5" x14ac:dyDescent="0.35">
      <c r="K72"/>
    </row>
    <row r="73" spans="11:11" ht="14.5" x14ac:dyDescent="0.35">
      <c r="K73"/>
    </row>
    <row r="74" spans="11:11" ht="14.5" x14ac:dyDescent="0.35">
      <c r="K74"/>
    </row>
    <row r="75" spans="11:11" ht="14.5" x14ac:dyDescent="0.35">
      <c r="K75"/>
    </row>
    <row r="76" spans="11:11" ht="14.5" x14ac:dyDescent="0.35">
      <c r="K76"/>
    </row>
    <row r="77" spans="11:11" ht="14.5" x14ac:dyDescent="0.35">
      <c r="K77"/>
    </row>
    <row r="78" spans="11:11" ht="14.5" x14ac:dyDescent="0.35">
      <c r="K78"/>
    </row>
    <row r="79" spans="11:11" ht="14.5" x14ac:dyDescent="0.35">
      <c r="K79"/>
    </row>
    <row r="80" spans="11:11" ht="14.5" x14ac:dyDescent="0.35">
      <c r="K80"/>
    </row>
    <row r="81" spans="11:11" ht="14.5" x14ac:dyDescent="0.35">
      <c r="K81"/>
    </row>
    <row r="82" spans="11:11" ht="14.5" x14ac:dyDescent="0.35">
      <c r="K82"/>
    </row>
    <row r="83" spans="11:11" ht="14.5" x14ac:dyDescent="0.35">
      <c r="K83"/>
    </row>
    <row r="84" spans="11:11" ht="14.5" x14ac:dyDescent="0.35">
      <c r="K84"/>
    </row>
    <row r="85" spans="11:11" ht="14.5" x14ac:dyDescent="0.35">
      <c r="K85"/>
    </row>
    <row r="86" spans="11:11" ht="14.5" x14ac:dyDescent="0.35">
      <c r="K86"/>
    </row>
    <row r="87" spans="11:11" ht="14.5" x14ac:dyDescent="0.35">
      <c r="K87"/>
    </row>
    <row r="88" spans="11:11" ht="14.5" x14ac:dyDescent="0.35">
      <c r="K88"/>
    </row>
    <row r="89" spans="11:11" ht="14.5" x14ac:dyDescent="0.35">
      <c r="K89"/>
    </row>
    <row r="90" spans="11:11" ht="14.5" x14ac:dyDescent="0.35">
      <c r="K90"/>
    </row>
    <row r="91" spans="11:11" ht="14.5" x14ac:dyDescent="0.35">
      <c r="K91"/>
    </row>
    <row r="92" spans="11:11" ht="14.5" x14ac:dyDescent="0.35">
      <c r="K92"/>
    </row>
    <row r="93" spans="11:11" ht="14.5" x14ac:dyDescent="0.35">
      <c r="K93"/>
    </row>
    <row r="94" spans="11:11" ht="14.5" x14ac:dyDescent="0.35">
      <c r="K94"/>
    </row>
    <row r="95" spans="11:11" ht="14.5" x14ac:dyDescent="0.35">
      <c r="K95"/>
    </row>
    <row r="96" spans="11:11" ht="14.5" x14ac:dyDescent="0.35">
      <c r="K96"/>
    </row>
    <row r="97" spans="11:11" ht="14.5" x14ac:dyDescent="0.35">
      <c r="K97"/>
    </row>
    <row r="98" spans="11:11" ht="14.5" x14ac:dyDescent="0.35">
      <c r="K98"/>
    </row>
    <row r="99" spans="11:11" ht="14.5" x14ac:dyDescent="0.35">
      <c r="K99"/>
    </row>
    <row r="100" spans="11:11" ht="14.5" x14ac:dyDescent="0.35">
      <c r="K100"/>
    </row>
    <row r="101" spans="11:11" ht="14.5" x14ac:dyDescent="0.35">
      <c r="K101"/>
    </row>
    <row r="102" spans="11:11" ht="14.5" x14ac:dyDescent="0.35">
      <c r="K102"/>
    </row>
    <row r="103" spans="11:11" ht="14.5" x14ac:dyDescent="0.35">
      <c r="K103"/>
    </row>
    <row r="104" spans="11:11" ht="14.5" x14ac:dyDescent="0.35">
      <c r="K104"/>
    </row>
    <row r="105" spans="11:11" ht="14.5" x14ac:dyDescent="0.35">
      <c r="K105"/>
    </row>
    <row r="106" spans="11:11" ht="14.5" x14ac:dyDescent="0.35">
      <c r="K106"/>
    </row>
    <row r="107" spans="11:11" ht="14.5" x14ac:dyDescent="0.35">
      <c r="K107"/>
    </row>
    <row r="108" spans="11:11" ht="14.5" x14ac:dyDescent="0.35">
      <c r="K108"/>
    </row>
    <row r="109" spans="11:11" ht="14.5" x14ac:dyDescent="0.35">
      <c r="K109"/>
    </row>
    <row r="110" spans="11:11" ht="14.5" x14ac:dyDescent="0.35">
      <c r="K110"/>
    </row>
    <row r="111" spans="11:11" ht="14.5" x14ac:dyDescent="0.35">
      <c r="K111"/>
    </row>
    <row r="112" spans="11:11" ht="14.5" x14ac:dyDescent="0.35">
      <c r="K112"/>
    </row>
    <row r="113" spans="11:11" ht="14.5" x14ac:dyDescent="0.35">
      <c r="K113"/>
    </row>
    <row r="114" spans="11:11" ht="14.5" x14ac:dyDescent="0.35">
      <c r="K114"/>
    </row>
    <row r="115" spans="11:11" ht="14.5" x14ac:dyDescent="0.35">
      <c r="K115"/>
    </row>
    <row r="116" spans="11:11" ht="14.5" x14ac:dyDescent="0.35">
      <c r="K116"/>
    </row>
    <row r="117" spans="11:11" ht="14.5" x14ac:dyDescent="0.35">
      <c r="K117"/>
    </row>
    <row r="118" spans="11:11" ht="14.5" x14ac:dyDescent="0.35">
      <c r="K118"/>
    </row>
    <row r="119" spans="11:11" ht="14.5" x14ac:dyDescent="0.35">
      <c r="K119"/>
    </row>
    <row r="120" spans="11:11" ht="14.5" x14ac:dyDescent="0.35">
      <c r="K120"/>
    </row>
    <row r="121" spans="11:11" ht="14.5" x14ac:dyDescent="0.35">
      <c r="K121"/>
    </row>
    <row r="122" spans="11:11" ht="14.5" x14ac:dyDescent="0.35">
      <c r="K122"/>
    </row>
    <row r="123" spans="11:11" ht="14.5" x14ac:dyDescent="0.35">
      <c r="K123"/>
    </row>
    <row r="124" spans="11:11" ht="14.5" x14ac:dyDescent="0.35">
      <c r="K124"/>
    </row>
    <row r="125" spans="11:11" ht="14.5" x14ac:dyDescent="0.35">
      <c r="K125"/>
    </row>
    <row r="126" spans="11:11" ht="14.5" x14ac:dyDescent="0.35">
      <c r="K126"/>
    </row>
    <row r="127" spans="11:11" ht="14.5" x14ac:dyDescent="0.35">
      <c r="K127"/>
    </row>
    <row r="128" spans="11:11" ht="14.5" x14ac:dyDescent="0.35">
      <c r="K128"/>
    </row>
    <row r="129" spans="11:11" ht="14.5" x14ac:dyDescent="0.35">
      <c r="K129"/>
    </row>
    <row r="130" spans="11:11" ht="14.5" x14ac:dyDescent="0.35">
      <c r="K130"/>
    </row>
    <row r="131" spans="11:11" ht="14.5" x14ac:dyDescent="0.35">
      <c r="K131"/>
    </row>
    <row r="132" spans="11:11" ht="14.5" x14ac:dyDescent="0.35">
      <c r="K132"/>
    </row>
    <row r="133" spans="11:11" ht="14.5" x14ac:dyDescent="0.35">
      <c r="K133"/>
    </row>
    <row r="134" spans="11:11" ht="14.5" x14ac:dyDescent="0.35">
      <c r="K134"/>
    </row>
    <row r="135" spans="11:11" ht="14.5" x14ac:dyDescent="0.35">
      <c r="K135"/>
    </row>
    <row r="136" spans="11:11" ht="14.5" x14ac:dyDescent="0.35">
      <c r="K136"/>
    </row>
    <row r="137" spans="11:11" ht="14.5" x14ac:dyDescent="0.35">
      <c r="K137"/>
    </row>
    <row r="138" spans="11:11" ht="14.5" x14ac:dyDescent="0.35">
      <c r="K138"/>
    </row>
    <row r="139" spans="11:11" ht="14.5" x14ac:dyDescent="0.35">
      <c r="K139"/>
    </row>
    <row r="140" spans="11:11" ht="14.5" x14ac:dyDescent="0.35">
      <c r="K140"/>
    </row>
    <row r="141" spans="11:11" ht="14.5" x14ac:dyDescent="0.35">
      <c r="K141"/>
    </row>
    <row r="142" spans="11:11" ht="14.5" x14ac:dyDescent="0.35">
      <c r="K142"/>
    </row>
    <row r="143" spans="11:11" ht="14.5" x14ac:dyDescent="0.35">
      <c r="K143"/>
    </row>
    <row r="144" spans="11:11" ht="14.5" x14ac:dyDescent="0.35">
      <c r="K144"/>
    </row>
    <row r="145" spans="11:11" ht="14.5" x14ac:dyDescent="0.35">
      <c r="K145"/>
    </row>
    <row r="146" spans="11:11" ht="14.5" x14ac:dyDescent="0.35">
      <c r="K146"/>
    </row>
    <row r="147" spans="11:11" ht="14.5" x14ac:dyDescent="0.35">
      <c r="K147"/>
    </row>
    <row r="148" spans="11:11" ht="14.5" x14ac:dyDescent="0.35">
      <c r="K148"/>
    </row>
    <row r="149" spans="11:11" ht="14.5" x14ac:dyDescent="0.35">
      <c r="K149"/>
    </row>
    <row r="150" spans="11:11" ht="14.5" x14ac:dyDescent="0.35">
      <c r="K150"/>
    </row>
    <row r="151" spans="11:11" ht="14.5" x14ac:dyDescent="0.35">
      <c r="K151"/>
    </row>
    <row r="152" spans="11:11" ht="14.5" x14ac:dyDescent="0.35">
      <c r="K152"/>
    </row>
    <row r="153" spans="11:11" ht="14.5" x14ac:dyDescent="0.35">
      <c r="K153"/>
    </row>
    <row r="154" spans="11:11" ht="14.5" x14ac:dyDescent="0.35">
      <c r="K154"/>
    </row>
    <row r="155" spans="11:11" ht="14.5" x14ac:dyDescent="0.35">
      <c r="K155"/>
    </row>
    <row r="156" spans="11:11" ht="14.5" x14ac:dyDescent="0.35">
      <c r="K156"/>
    </row>
    <row r="157" spans="11:11" ht="14.5" x14ac:dyDescent="0.35">
      <c r="K157"/>
    </row>
    <row r="158" spans="11:11" ht="14.5" x14ac:dyDescent="0.35">
      <c r="K158"/>
    </row>
    <row r="159" spans="11:11" ht="14.5" x14ac:dyDescent="0.35">
      <c r="K159"/>
    </row>
    <row r="160" spans="11:11" ht="14.5" x14ac:dyDescent="0.35">
      <c r="K160"/>
    </row>
    <row r="161" spans="11:11" ht="14.5" x14ac:dyDescent="0.35">
      <c r="K161"/>
    </row>
    <row r="162" spans="11:11" ht="14.5" x14ac:dyDescent="0.35">
      <c r="K162"/>
    </row>
  </sheetData>
  <mergeCells count="10">
    <mergeCell ref="A18:A19"/>
    <mergeCell ref="B18:B19"/>
    <mergeCell ref="K18:K19"/>
    <mergeCell ref="A1:I1"/>
    <mergeCell ref="A7:A8"/>
    <mergeCell ref="B7:B8"/>
    <mergeCell ref="K7:K8"/>
    <mergeCell ref="A11:A12"/>
    <mergeCell ref="B11:B12"/>
    <mergeCell ref="K11:K12"/>
  </mergeCells>
  <printOptions horizontalCentered="1"/>
  <pageMargins left="0.70866141732283472" right="0.70866141732283472" top="0.74803149606299213" bottom="0.74803149606299213" header="0.31496062992125984" footer="0.31496062992125984"/>
  <pageSetup paperSize="9" scale="49" fitToHeight="4" orientation="landscape" r:id="rId1"/>
  <headerFooter>
    <oddHeader>&amp;L&amp;F&amp;R&amp;A</oddHeader>
    <oddFooter>&amp;L&amp;D&amp;C&amp;P/&amp;N&amp;R&amp;T</oddFooter>
  </headerFooter>
  <ignoredErrors>
    <ignoredError sqref="D14:E14 H20:I20 D23:E23 G14 G23"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8"/>
  </sheetPr>
  <dimension ref="A1:P227"/>
  <sheetViews>
    <sheetView showGridLines="0" view="pageBreakPreview" zoomScale="85" zoomScaleNormal="100" zoomScaleSheetLayoutView="85" workbookViewId="0">
      <pane xSplit="2" ySplit="4" topLeftCell="C5" activePane="bottomRight" state="frozen"/>
      <selection activeCell="I20" sqref="I20:I24"/>
      <selection pane="topRight" activeCell="I20" sqref="I20:I24"/>
      <selection pane="bottomLeft" activeCell="I20" sqref="I20:I24"/>
      <selection pane="bottomRight" sqref="A1:I1"/>
    </sheetView>
  </sheetViews>
  <sheetFormatPr baseColWidth="10" defaultColWidth="11.26953125" defaultRowHeight="13.15" customHeight="1" x14ac:dyDescent="0.35"/>
  <cols>
    <col min="1" max="1" width="46" style="2" bestFit="1" customWidth="1"/>
    <col min="2" max="2" width="11.81640625" style="2" customWidth="1"/>
    <col min="3" max="5" width="9.81640625" style="2" bestFit="1" customWidth="1"/>
    <col min="6" max="8" width="10.1796875" style="2" customWidth="1"/>
    <col min="9" max="9" width="11.1796875" style="2" customWidth="1"/>
    <col min="10" max="10" width="6.7265625" style="2" customWidth="1"/>
    <col min="11" max="11" width="20.7265625" style="11" customWidth="1"/>
    <col min="12" max="12" width="11.26953125" style="274"/>
    <col min="13" max="16" width="11.26953125" style="270"/>
    <col min="17" max="16384" width="11.26953125" style="2"/>
  </cols>
  <sheetData>
    <row r="1" spans="1:12" ht="29.5" customHeight="1" x14ac:dyDescent="0.35">
      <c r="A1" s="679" t="s">
        <v>360</v>
      </c>
      <c r="B1" s="680"/>
      <c r="C1" s="680"/>
      <c r="D1" s="680"/>
      <c r="E1" s="680"/>
      <c r="F1" s="680"/>
      <c r="G1" s="680"/>
      <c r="H1" s="680"/>
      <c r="I1" s="681"/>
      <c r="J1" s="213"/>
      <c r="K1" s="194" t="s">
        <v>289</v>
      </c>
    </row>
    <row r="3" spans="1:12" ht="27" customHeight="1" x14ac:dyDescent="0.35">
      <c r="A3" s="668" t="s">
        <v>159</v>
      </c>
      <c r="B3" s="655"/>
      <c r="C3" s="3" t="str">
        <f>Annee0</f>
        <v>Année 0</v>
      </c>
      <c r="D3" s="3" t="str">
        <f>Annee1</f>
        <v>Année 1</v>
      </c>
      <c r="E3" s="3" t="str">
        <f>Annee2</f>
        <v>Année 2</v>
      </c>
      <c r="F3" s="516" t="str">
        <f>Annee3</f>
        <v>Année 3</v>
      </c>
      <c r="G3" s="541" t="str">
        <f>Annee4</f>
        <v>Année 4</v>
      </c>
      <c r="H3" s="181" t="s">
        <v>256</v>
      </c>
      <c r="I3" s="4" t="s">
        <v>59</v>
      </c>
      <c r="K3" s="661" t="s">
        <v>290</v>
      </c>
    </row>
    <row r="4" spans="1:12" ht="13.15" customHeight="1" x14ac:dyDescent="0.35">
      <c r="A4" s="667"/>
      <c r="B4" s="656"/>
      <c r="C4" s="77">
        <v>12</v>
      </c>
      <c r="D4" s="77">
        <v>12</v>
      </c>
      <c r="E4" s="77">
        <v>12</v>
      </c>
      <c r="F4" s="77">
        <v>12</v>
      </c>
      <c r="G4" s="183">
        <v>12</v>
      </c>
      <c r="H4" s="78">
        <f t="shared" ref="H4:H39" si="0">IFERROR(AVERAGE(C4:G4),0)</f>
        <v>12</v>
      </c>
      <c r="I4" s="78">
        <f t="shared" ref="I4:I39" si="1">SUM(C4:G4)</f>
        <v>60</v>
      </c>
      <c r="K4" s="674"/>
    </row>
    <row r="5" spans="1:12" ht="13.15" customHeight="1" x14ac:dyDescent="0.3">
      <c r="A5" s="50" t="s">
        <v>23</v>
      </c>
      <c r="B5" s="53"/>
      <c r="C5" s="480"/>
      <c r="D5" s="295">
        <f>SUM(D6:D23)</f>
        <v>1893127.8703314299</v>
      </c>
      <c r="E5" s="295">
        <f t="shared" ref="E5:G5" si="2">SUM(E6:E23)</f>
        <v>1795627.8703314299</v>
      </c>
      <c r="F5" s="295">
        <f t="shared" ref="F5" si="3">SUM(F6:F23)</f>
        <v>1858127.8703314299</v>
      </c>
      <c r="G5" s="294">
        <f t="shared" si="2"/>
        <v>1796627.8703314299</v>
      </c>
      <c r="H5" s="54">
        <f t="shared" si="0"/>
        <v>1835877.8703314299</v>
      </c>
      <c r="I5" s="54">
        <f t="shared" si="1"/>
        <v>7343511.4813257195</v>
      </c>
      <c r="K5" s="210" t="s">
        <v>303</v>
      </c>
      <c r="L5" s="270"/>
    </row>
    <row r="6" spans="1:12" ht="13.15" customHeight="1" x14ac:dyDescent="0.3">
      <c r="A6" s="254" t="s">
        <v>24</v>
      </c>
      <c r="B6" s="255"/>
      <c r="C6" s="487"/>
      <c r="D6" s="317">
        <v>0</v>
      </c>
      <c r="E6" s="317">
        <v>0</v>
      </c>
      <c r="F6" s="545">
        <v>0</v>
      </c>
      <c r="G6" s="546">
        <v>0</v>
      </c>
      <c r="H6" s="206">
        <f t="shared" si="0"/>
        <v>0</v>
      </c>
      <c r="I6" s="206">
        <f t="shared" si="1"/>
        <v>0</v>
      </c>
      <c r="K6" s="210"/>
      <c r="L6" s="270"/>
    </row>
    <row r="7" spans="1:12" ht="13.15" customHeight="1" x14ac:dyDescent="0.3">
      <c r="A7" s="256" t="s">
        <v>25</v>
      </c>
      <c r="B7" s="255"/>
      <c r="C7" s="470"/>
      <c r="D7" s="312">
        <v>0</v>
      </c>
      <c r="E7" s="312">
        <v>0</v>
      </c>
      <c r="F7" s="547">
        <v>0</v>
      </c>
      <c r="G7" s="313">
        <v>0</v>
      </c>
      <c r="H7" s="207">
        <f t="shared" si="0"/>
        <v>0</v>
      </c>
      <c r="I7" s="207">
        <f t="shared" si="1"/>
        <v>0</v>
      </c>
      <c r="K7" s="211"/>
      <c r="L7" s="270"/>
    </row>
    <row r="8" spans="1:12" ht="13.15" customHeight="1" x14ac:dyDescent="0.3">
      <c r="A8" s="256" t="s">
        <v>26</v>
      </c>
      <c r="B8" s="255"/>
      <c r="C8" s="470"/>
      <c r="D8" s="312">
        <v>0</v>
      </c>
      <c r="E8" s="312">
        <v>0</v>
      </c>
      <c r="F8" s="547">
        <v>0</v>
      </c>
      <c r="G8" s="313">
        <v>0</v>
      </c>
      <c r="H8" s="207">
        <f t="shared" si="0"/>
        <v>0</v>
      </c>
      <c r="I8" s="207">
        <f t="shared" si="1"/>
        <v>0</v>
      </c>
      <c r="K8" s="211"/>
      <c r="L8" s="270"/>
    </row>
    <row r="9" spans="1:12" ht="13.15" customHeight="1" x14ac:dyDescent="0.3">
      <c r="A9" s="257" t="s">
        <v>27</v>
      </c>
      <c r="B9" s="255"/>
      <c r="C9" s="470"/>
      <c r="D9" s="312">
        <v>128000</v>
      </c>
      <c r="E9" s="312">
        <v>36000</v>
      </c>
      <c r="F9" s="547">
        <v>88000</v>
      </c>
      <c r="G9" s="313">
        <v>36000</v>
      </c>
      <c r="H9" s="207">
        <f t="shared" si="0"/>
        <v>72000</v>
      </c>
      <c r="I9" s="207">
        <f t="shared" si="1"/>
        <v>288000</v>
      </c>
      <c r="K9" s="211"/>
      <c r="L9" s="270"/>
    </row>
    <row r="10" spans="1:12" ht="13.15" customHeight="1" x14ac:dyDescent="0.3">
      <c r="A10" s="257" t="s">
        <v>28</v>
      </c>
      <c r="B10" s="255"/>
      <c r="C10" s="470"/>
      <c r="D10" s="312">
        <v>714000</v>
      </c>
      <c r="E10" s="312">
        <v>706000</v>
      </c>
      <c r="F10" s="547">
        <v>714000</v>
      </c>
      <c r="G10" s="313">
        <v>703000</v>
      </c>
      <c r="H10" s="207">
        <f t="shared" si="0"/>
        <v>709250</v>
      </c>
      <c r="I10" s="207">
        <f t="shared" si="1"/>
        <v>2837000</v>
      </c>
      <c r="K10" s="211"/>
      <c r="L10" s="270"/>
    </row>
    <row r="11" spans="1:12" ht="13.15" customHeight="1" x14ac:dyDescent="0.3">
      <c r="A11" s="257" t="s">
        <v>29</v>
      </c>
      <c r="B11" s="255"/>
      <c r="C11" s="470"/>
      <c r="D11" s="312">
        <v>0</v>
      </c>
      <c r="E11" s="312">
        <v>0</v>
      </c>
      <c r="F11" s="547">
        <v>0</v>
      </c>
      <c r="G11" s="313">
        <v>0</v>
      </c>
      <c r="H11" s="207">
        <f t="shared" si="0"/>
        <v>0</v>
      </c>
      <c r="I11" s="207">
        <f t="shared" si="1"/>
        <v>0</v>
      </c>
      <c r="K11" s="211"/>
      <c r="L11" s="270"/>
    </row>
    <row r="12" spans="1:12" ht="13.15" customHeight="1" x14ac:dyDescent="0.3">
      <c r="A12" s="257" t="s">
        <v>30</v>
      </c>
      <c r="B12" s="255"/>
      <c r="C12" s="470"/>
      <c r="D12" s="312">
        <v>0</v>
      </c>
      <c r="E12" s="312">
        <v>0</v>
      </c>
      <c r="F12" s="547">
        <v>0</v>
      </c>
      <c r="G12" s="313">
        <v>0</v>
      </c>
      <c r="H12" s="207">
        <f t="shared" si="0"/>
        <v>0</v>
      </c>
      <c r="I12" s="207">
        <f t="shared" si="1"/>
        <v>0</v>
      </c>
      <c r="K12" s="211"/>
      <c r="L12" s="270"/>
    </row>
    <row r="13" spans="1:12" ht="13.15" customHeight="1" x14ac:dyDescent="0.3">
      <c r="A13" s="257" t="s">
        <v>31</v>
      </c>
      <c r="B13" s="255"/>
      <c r="C13" s="470"/>
      <c r="D13" s="312">
        <v>144996</v>
      </c>
      <c r="E13" s="312">
        <v>144996</v>
      </c>
      <c r="F13" s="547">
        <v>144996</v>
      </c>
      <c r="G13" s="313">
        <v>144996</v>
      </c>
      <c r="H13" s="207">
        <f t="shared" si="0"/>
        <v>144996</v>
      </c>
      <c r="I13" s="207">
        <f t="shared" si="1"/>
        <v>579984</v>
      </c>
      <c r="K13" s="211"/>
      <c r="L13" s="270"/>
    </row>
    <row r="14" spans="1:12" ht="13.15" customHeight="1" x14ac:dyDescent="0.3">
      <c r="A14" s="257" t="s">
        <v>32</v>
      </c>
      <c r="B14" s="255"/>
      <c r="C14" s="470"/>
      <c r="D14" s="312">
        <v>906131.87033142976</v>
      </c>
      <c r="E14" s="312">
        <v>908631.87033142976</v>
      </c>
      <c r="F14" s="547">
        <v>911131.87033142976</v>
      </c>
      <c r="G14" s="313">
        <v>912631.87033142976</v>
      </c>
      <c r="H14" s="207">
        <f t="shared" si="0"/>
        <v>909631.87033142976</v>
      </c>
      <c r="I14" s="207">
        <f t="shared" si="1"/>
        <v>3638527.481325719</v>
      </c>
      <c r="K14" s="211"/>
      <c r="L14" s="270"/>
    </row>
    <row r="15" spans="1:12" ht="13.15" customHeight="1" x14ac:dyDescent="0.3">
      <c r="A15" s="257" t="s">
        <v>33</v>
      </c>
      <c r="B15" s="255"/>
      <c r="C15" s="470"/>
      <c r="D15" s="312">
        <v>0</v>
      </c>
      <c r="E15" s="312">
        <v>0</v>
      </c>
      <c r="F15" s="547">
        <v>0</v>
      </c>
      <c r="G15" s="313">
        <v>0</v>
      </c>
      <c r="H15" s="207">
        <f t="shared" si="0"/>
        <v>0</v>
      </c>
      <c r="I15" s="207">
        <f t="shared" si="1"/>
        <v>0</v>
      </c>
      <c r="K15" s="211"/>
      <c r="L15" s="270"/>
    </row>
    <row r="16" spans="1:12" ht="13.15" customHeight="1" x14ac:dyDescent="0.3">
      <c r="A16" s="257" t="s">
        <v>34</v>
      </c>
      <c r="B16" s="255"/>
      <c r="C16" s="470"/>
      <c r="D16" s="312">
        <v>0</v>
      </c>
      <c r="E16" s="312">
        <v>0</v>
      </c>
      <c r="F16" s="547">
        <v>0</v>
      </c>
      <c r="G16" s="313">
        <v>0</v>
      </c>
      <c r="H16" s="207">
        <f t="shared" si="0"/>
        <v>0</v>
      </c>
      <c r="I16" s="207">
        <f t="shared" si="1"/>
        <v>0</v>
      </c>
      <c r="K16" s="211"/>
      <c r="L16" s="270"/>
    </row>
    <row r="17" spans="1:12" ht="13.15" customHeight="1" x14ac:dyDescent="0.3">
      <c r="A17" s="257" t="s">
        <v>93</v>
      </c>
      <c r="B17" s="255"/>
      <c r="C17" s="470"/>
      <c r="D17" s="312">
        <v>0</v>
      </c>
      <c r="E17" s="312">
        <v>0</v>
      </c>
      <c r="F17" s="547">
        <v>0</v>
      </c>
      <c r="G17" s="313">
        <v>0</v>
      </c>
      <c r="H17" s="207">
        <f t="shared" si="0"/>
        <v>0</v>
      </c>
      <c r="I17" s="207">
        <f t="shared" si="1"/>
        <v>0</v>
      </c>
      <c r="K17" s="211"/>
      <c r="L17" s="270"/>
    </row>
    <row r="18" spans="1:12" ht="13.15" customHeight="1" x14ac:dyDescent="0.3">
      <c r="A18" s="257" t="s">
        <v>35</v>
      </c>
      <c r="B18" s="255"/>
      <c r="C18" s="470"/>
      <c r="D18" s="312">
        <v>0</v>
      </c>
      <c r="E18" s="312">
        <v>0</v>
      </c>
      <c r="F18" s="547">
        <v>0</v>
      </c>
      <c r="G18" s="313">
        <v>0</v>
      </c>
      <c r="H18" s="207">
        <f t="shared" si="0"/>
        <v>0</v>
      </c>
      <c r="I18" s="207">
        <f t="shared" si="1"/>
        <v>0</v>
      </c>
      <c r="K18" s="211"/>
      <c r="L18" s="270"/>
    </row>
    <row r="19" spans="1:12" ht="13.15" customHeight="1" x14ac:dyDescent="0.3">
      <c r="A19" s="257" t="s">
        <v>36</v>
      </c>
      <c r="B19" s="255"/>
      <c r="C19" s="470"/>
      <c r="D19" s="312">
        <v>0</v>
      </c>
      <c r="E19" s="312">
        <v>0</v>
      </c>
      <c r="F19" s="547">
        <v>0</v>
      </c>
      <c r="G19" s="313">
        <v>0</v>
      </c>
      <c r="H19" s="207">
        <f t="shared" si="0"/>
        <v>0</v>
      </c>
      <c r="I19" s="207">
        <f t="shared" si="1"/>
        <v>0</v>
      </c>
      <c r="K19" s="211"/>
      <c r="L19" s="270"/>
    </row>
    <row r="20" spans="1:12" ht="13.15" customHeight="1" x14ac:dyDescent="0.3">
      <c r="A20" s="257" t="s">
        <v>37</v>
      </c>
      <c r="B20" s="255"/>
      <c r="C20" s="470"/>
      <c r="D20" s="312">
        <v>0</v>
      </c>
      <c r="E20" s="312">
        <v>0</v>
      </c>
      <c r="F20" s="547">
        <v>0</v>
      </c>
      <c r="G20" s="313">
        <v>0</v>
      </c>
      <c r="H20" s="207">
        <f t="shared" si="0"/>
        <v>0</v>
      </c>
      <c r="I20" s="207">
        <f t="shared" si="1"/>
        <v>0</v>
      </c>
      <c r="K20" s="211"/>
      <c r="L20" s="270"/>
    </row>
    <row r="21" spans="1:12" ht="13.15" customHeight="1" x14ac:dyDescent="0.3">
      <c r="A21" s="257" t="s">
        <v>38</v>
      </c>
      <c r="B21" s="255"/>
      <c r="C21" s="470"/>
      <c r="D21" s="312">
        <v>0</v>
      </c>
      <c r="E21" s="312">
        <v>0</v>
      </c>
      <c r="F21" s="547">
        <v>0</v>
      </c>
      <c r="G21" s="313">
        <v>0</v>
      </c>
      <c r="H21" s="207">
        <f t="shared" si="0"/>
        <v>0</v>
      </c>
      <c r="I21" s="207">
        <f t="shared" si="1"/>
        <v>0</v>
      </c>
      <c r="K21" s="211"/>
      <c r="L21" s="270"/>
    </row>
    <row r="22" spans="1:12" ht="13.15" customHeight="1" x14ac:dyDescent="0.3">
      <c r="A22" s="257" t="s">
        <v>94</v>
      </c>
      <c r="B22" s="255"/>
      <c r="C22" s="470"/>
      <c r="D22" s="312">
        <v>0</v>
      </c>
      <c r="E22" s="312">
        <v>0</v>
      </c>
      <c r="F22" s="547">
        <v>0</v>
      </c>
      <c r="G22" s="313">
        <v>0</v>
      </c>
      <c r="H22" s="207">
        <f t="shared" si="0"/>
        <v>0</v>
      </c>
      <c r="I22" s="207">
        <f t="shared" si="1"/>
        <v>0</v>
      </c>
      <c r="K22" s="211"/>
      <c r="L22" s="270"/>
    </row>
    <row r="23" spans="1:12" ht="13.15" customHeight="1" x14ac:dyDescent="0.3">
      <c r="A23" s="257" t="s">
        <v>260</v>
      </c>
      <c r="B23" s="255"/>
      <c r="C23" s="470"/>
      <c r="D23" s="312">
        <v>0</v>
      </c>
      <c r="E23" s="312">
        <v>0</v>
      </c>
      <c r="F23" s="547">
        <v>0</v>
      </c>
      <c r="G23" s="313">
        <v>0</v>
      </c>
      <c r="H23" s="207">
        <f t="shared" si="0"/>
        <v>0</v>
      </c>
      <c r="I23" s="207">
        <f t="shared" si="1"/>
        <v>0</v>
      </c>
      <c r="K23" s="211"/>
      <c r="L23" s="270"/>
    </row>
    <row r="24" spans="1:12" ht="13.15" customHeight="1" x14ac:dyDescent="0.3">
      <c r="A24" s="50" t="s">
        <v>189</v>
      </c>
      <c r="B24" s="53"/>
      <c r="C24" s="480"/>
      <c r="D24" s="295">
        <f>SUM(D25:D33)</f>
        <v>771468.80000000005</v>
      </c>
      <c r="E24" s="295">
        <f t="shared" ref="E24:G24" si="4">SUM(E25:E33)</f>
        <v>771468.80000000005</v>
      </c>
      <c r="F24" s="295">
        <f t="shared" si="4"/>
        <v>771468.80000000005</v>
      </c>
      <c r="G24" s="294">
        <f t="shared" si="4"/>
        <v>771468.80000000005</v>
      </c>
      <c r="H24" s="54">
        <f>IFERROR(AVERAGE(C24:G24),0)</f>
        <v>771468.80000000005</v>
      </c>
      <c r="I24" s="54">
        <f>SUM(C24:G24)</f>
        <v>3085875.2000000002</v>
      </c>
      <c r="K24" s="465" t="s">
        <v>303</v>
      </c>
      <c r="L24" s="270"/>
    </row>
    <row r="25" spans="1:12" ht="13.15" customHeight="1" x14ac:dyDescent="0.3">
      <c r="A25" s="33" t="s">
        <v>76</v>
      </c>
      <c r="B25" s="104"/>
      <c r="C25" s="470"/>
      <c r="D25" s="312">
        <v>280032</v>
      </c>
      <c r="E25" s="312">
        <v>280032</v>
      </c>
      <c r="F25" s="547">
        <v>280032</v>
      </c>
      <c r="G25" s="313">
        <v>280032</v>
      </c>
      <c r="H25" s="207">
        <f t="shared" ref="H25:H28" si="5">IFERROR(AVERAGE(C25:G25),0)</f>
        <v>280032</v>
      </c>
      <c r="I25" s="207">
        <f t="shared" ref="I25:I28" si="6">SUM(C25:G25)</f>
        <v>1120128</v>
      </c>
      <c r="K25" s="211"/>
      <c r="L25" s="270"/>
    </row>
    <row r="26" spans="1:12" ht="13.15" customHeight="1" x14ac:dyDescent="0.3">
      <c r="A26" s="620" t="s">
        <v>502</v>
      </c>
      <c r="B26" s="104"/>
      <c r="C26" s="470"/>
      <c r="D26" s="621">
        <v>205000</v>
      </c>
      <c r="E26" s="621">
        <v>205000</v>
      </c>
      <c r="F26" s="622">
        <v>205000</v>
      </c>
      <c r="G26" s="623">
        <v>205000</v>
      </c>
      <c r="H26" s="207">
        <f t="shared" si="5"/>
        <v>205000</v>
      </c>
      <c r="I26" s="207">
        <f t="shared" si="6"/>
        <v>820000</v>
      </c>
      <c r="K26" s="211"/>
      <c r="L26" s="270"/>
    </row>
    <row r="27" spans="1:12" ht="13.15" customHeight="1" x14ac:dyDescent="0.3">
      <c r="A27" s="620" t="s">
        <v>503</v>
      </c>
      <c r="B27" s="104"/>
      <c r="C27" s="470"/>
      <c r="D27" s="621">
        <v>45000</v>
      </c>
      <c r="E27" s="621">
        <v>45000</v>
      </c>
      <c r="F27" s="622">
        <v>45000</v>
      </c>
      <c r="G27" s="623">
        <v>45000</v>
      </c>
      <c r="H27" s="207">
        <f t="shared" si="5"/>
        <v>45000</v>
      </c>
      <c r="I27" s="207">
        <f t="shared" si="6"/>
        <v>180000</v>
      </c>
      <c r="K27" s="211"/>
      <c r="L27" s="270"/>
    </row>
    <row r="28" spans="1:12" ht="13.15" customHeight="1" x14ac:dyDescent="0.3">
      <c r="A28" s="620" t="s">
        <v>504</v>
      </c>
      <c r="B28" s="104"/>
      <c r="C28" s="470"/>
      <c r="D28" s="621">
        <v>197728.8</v>
      </c>
      <c r="E28" s="621">
        <v>197728.8</v>
      </c>
      <c r="F28" s="622">
        <v>197728.8</v>
      </c>
      <c r="G28" s="623">
        <v>197728.8</v>
      </c>
      <c r="H28" s="207">
        <f t="shared" si="5"/>
        <v>197728.8</v>
      </c>
      <c r="I28" s="207">
        <f t="shared" si="6"/>
        <v>790915.2</v>
      </c>
      <c r="K28" s="211"/>
      <c r="L28" s="270"/>
    </row>
    <row r="29" spans="1:12" ht="13.15" customHeight="1" x14ac:dyDescent="0.3">
      <c r="A29" s="25" t="s">
        <v>11</v>
      </c>
      <c r="B29" s="104"/>
      <c r="C29" s="470"/>
      <c r="D29" s="312">
        <v>13000</v>
      </c>
      <c r="E29" s="312">
        <v>13000</v>
      </c>
      <c r="F29" s="547">
        <v>13000</v>
      </c>
      <c r="G29" s="313">
        <v>13000</v>
      </c>
      <c r="H29" s="207">
        <f t="shared" si="0"/>
        <v>13000</v>
      </c>
      <c r="I29" s="207">
        <f t="shared" si="1"/>
        <v>52000</v>
      </c>
      <c r="K29" s="211"/>
      <c r="L29" s="270"/>
    </row>
    <row r="30" spans="1:12" ht="13.15" customHeight="1" x14ac:dyDescent="0.3">
      <c r="A30" s="25" t="s">
        <v>12</v>
      </c>
      <c r="B30" s="104"/>
      <c r="C30" s="470"/>
      <c r="D30" s="312">
        <v>9000</v>
      </c>
      <c r="E30" s="312">
        <v>9000</v>
      </c>
      <c r="F30" s="547">
        <v>9000</v>
      </c>
      <c r="G30" s="313">
        <v>9000</v>
      </c>
      <c r="H30" s="207">
        <f t="shared" si="0"/>
        <v>9000</v>
      </c>
      <c r="I30" s="207">
        <f t="shared" si="1"/>
        <v>36000</v>
      </c>
      <c r="K30" s="211"/>
      <c r="L30" s="270"/>
    </row>
    <row r="31" spans="1:12" ht="13.15" customHeight="1" x14ac:dyDescent="0.3">
      <c r="A31" s="25" t="s">
        <v>77</v>
      </c>
      <c r="B31" s="104"/>
      <c r="C31" s="470"/>
      <c r="D31" s="312">
        <v>0</v>
      </c>
      <c r="E31" s="312">
        <v>0</v>
      </c>
      <c r="F31" s="547">
        <v>0</v>
      </c>
      <c r="G31" s="313">
        <v>0</v>
      </c>
      <c r="H31" s="207">
        <f t="shared" si="0"/>
        <v>0</v>
      </c>
      <c r="I31" s="207">
        <f t="shared" si="1"/>
        <v>0</v>
      </c>
      <c r="K31" s="211"/>
      <c r="L31" s="270"/>
    </row>
    <row r="32" spans="1:12" ht="13.15" customHeight="1" x14ac:dyDescent="0.3">
      <c r="A32" s="170" t="s">
        <v>13</v>
      </c>
      <c r="B32" s="104"/>
      <c r="C32" s="470"/>
      <c r="D32" s="312">
        <v>0</v>
      </c>
      <c r="E32" s="312">
        <v>0</v>
      </c>
      <c r="F32" s="547">
        <v>0</v>
      </c>
      <c r="G32" s="313">
        <v>0</v>
      </c>
      <c r="H32" s="207">
        <f t="shared" si="0"/>
        <v>0</v>
      </c>
      <c r="I32" s="207">
        <f t="shared" si="1"/>
        <v>0</v>
      </c>
      <c r="K32" s="211"/>
      <c r="L32" s="270"/>
    </row>
    <row r="33" spans="1:12" ht="13.15" customHeight="1" x14ac:dyDescent="0.3">
      <c r="A33" s="590" t="s">
        <v>495</v>
      </c>
      <c r="B33" s="591"/>
      <c r="C33" s="470"/>
      <c r="D33" s="592">
        <v>21708</v>
      </c>
      <c r="E33" s="592">
        <v>21708</v>
      </c>
      <c r="F33" s="592">
        <v>21708</v>
      </c>
      <c r="G33" s="593">
        <v>21708</v>
      </c>
      <c r="H33" s="207">
        <f t="shared" ref="H33" si="7">IFERROR(AVERAGE(C33:G33),0)</f>
        <v>21708</v>
      </c>
      <c r="I33" s="207">
        <f t="shared" ref="I33" si="8">SUM(C33:G33)</f>
        <v>86832</v>
      </c>
      <c r="K33" s="211"/>
      <c r="L33" s="270"/>
    </row>
    <row r="34" spans="1:12" ht="13.15" customHeight="1" x14ac:dyDescent="0.3">
      <c r="A34" s="50" t="s">
        <v>160</v>
      </c>
      <c r="B34" s="53" t="s">
        <v>363</v>
      </c>
      <c r="C34" s="480"/>
      <c r="D34" s="295">
        <f t="shared" ref="D34:G34" si="9">SUM(D35:D39)</f>
        <v>9591316.5425037276</v>
      </c>
      <c r="E34" s="295">
        <f t="shared" si="9"/>
        <v>9550099.3647460267</v>
      </c>
      <c r="F34" s="295">
        <f t="shared" ref="F34" si="10">SUM(F35:F39)</f>
        <v>9622228.4969595708</v>
      </c>
      <c r="G34" s="294">
        <f t="shared" si="9"/>
        <v>9647163.988633424</v>
      </c>
      <c r="H34" s="54">
        <f t="shared" si="0"/>
        <v>9602702.0982106887</v>
      </c>
      <c r="I34" s="54">
        <f t="shared" si="1"/>
        <v>38410808.392842755</v>
      </c>
      <c r="K34" s="465" t="s">
        <v>432</v>
      </c>
      <c r="L34" s="270"/>
    </row>
    <row r="35" spans="1:12" ht="13.15" customHeight="1" x14ac:dyDescent="0.3">
      <c r="A35" s="33" t="s">
        <v>161</v>
      </c>
      <c r="B35" s="104"/>
      <c r="C35" s="488"/>
      <c r="D35" s="13">
        <f>'5a'!D56</f>
        <v>5453032.9630377945</v>
      </c>
      <c r="E35" s="13">
        <f>'5a'!E56</f>
        <v>5415149.0932518309</v>
      </c>
      <c r="F35" s="548">
        <f>'5a'!F56</f>
        <v>5464066.0519635035</v>
      </c>
      <c r="G35" s="159">
        <f>'5a'!G56</f>
        <v>5451448.891456522</v>
      </c>
      <c r="H35" s="206">
        <f t="shared" si="0"/>
        <v>5445924.2499274127</v>
      </c>
      <c r="I35" s="206">
        <f t="shared" si="1"/>
        <v>21783696.999709651</v>
      </c>
      <c r="K35" s="211"/>
      <c r="L35" s="270"/>
    </row>
    <row r="36" spans="1:12" ht="13.15" customHeight="1" x14ac:dyDescent="0.3">
      <c r="A36" s="25" t="s">
        <v>57</v>
      </c>
      <c r="B36" s="104"/>
      <c r="C36" s="488"/>
      <c r="D36" s="13">
        <f>'5a'!D63</f>
        <v>1076267.8968759896</v>
      </c>
      <c r="E36" s="13">
        <f>'5a'!E63</f>
        <v>1080541.0829310874</v>
      </c>
      <c r="F36" s="548">
        <f>'5a'!F63</f>
        <v>1089251.802482608</v>
      </c>
      <c r="G36" s="159">
        <f>'5a'!G63</f>
        <v>1099540.6766548213</v>
      </c>
      <c r="H36" s="207">
        <f t="shared" si="0"/>
        <v>1086400.3647361265</v>
      </c>
      <c r="I36" s="207">
        <f t="shared" si="1"/>
        <v>4345601.458944506</v>
      </c>
      <c r="K36" s="211"/>
      <c r="L36" s="270"/>
    </row>
    <row r="37" spans="1:12" ht="13.15" customHeight="1" x14ac:dyDescent="0.3">
      <c r="A37" s="25" t="s">
        <v>58</v>
      </c>
      <c r="B37" s="104"/>
      <c r="C37" s="488"/>
      <c r="D37" s="13">
        <f>'5a'!D67</f>
        <v>2261389.8555322322</v>
      </c>
      <c r="E37" s="13">
        <f>'5a'!E67</f>
        <v>2249592.1412875406</v>
      </c>
      <c r="F37" s="548">
        <f>'5a'!F67</f>
        <v>2260244.4404668123</v>
      </c>
      <c r="G37" s="159">
        <f>'5a'!G67</f>
        <v>2282102.989962671</v>
      </c>
      <c r="H37" s="207">
        <f t="shared" si="0"/>
        <v>2263332.3568123141</v>
      </c>
      <c r="I37" s="207">
        <f t="shared" si="1"/>
        <v>9053329.4272492565</v>
      </c>
      <c r="K37" s="211"/>
      <c r="L37" s="270"/>
    </row>
    <row r="38" spans="1:12" ht="13.15" customHeight="1" x14ac:dyDescent="0.3">
      <c r="A38" s="25" t="s">
        <v>187</v>
      </c>
      <c r="B38" s="104"/>
      <c r="C38" s="488"/>
      <c r="D38" s="13">
        <f>'5a'!D75</f>
        <v>608306.6048077126</v>
      </c>
      <c r="E38" s="13">
        <f>'5a'!E75</f>
        <v>608863.03669181815</v>
      </c>
      <c r="F38" s="548">
        <f>'5a'!F75</f>
        <v>609022.88130414183</v>
      </c>
      <c r="G38" s="159">
        <f>'5a'!G75</f>
        <v>610683.46000576555</v>
      </c>
      <c r="H38" s="207">
        <f t="shared" si="0"/>
        <v>609218.99570235959</v>
      </c>
      <c r="I38" s="207">
        <f t="shared" si="1"/>
        <v>2436875.9828094384</v>
      </c>
      <c r="K38" s="211"/>
      <c r="L38" s="270"/>
    </row>
    <row r="39" spans="1:12" ht="13.15" customHeight="1" x14ac:dyDescent="0.3">
      <c r="A39" s="25" t="s">
        <v>124</v>
      </c>
      <c r="B39" s="12"/>
      <c r="C39" s="488"/>
      <c r="D39" s="13">
        <f>'5a'!D79</f>
        <v>192319.22224999993</v>
      </c>
      <c r="E39" s="13">
        <f>'5a'!E79</f>
        <v>195954.01058374991</v>
      </c>
      <c r="F39" s="548">
        <f>'5a'!F79</f>
        <v>199643.32074250613</v>
      </c>
      <c r="G39" s="159">
        <f>'5a'!G79</f>
        <v>203387.97055364368</v>
      </c>
      <c r="H39" s="207">
        <f t="shared" si="0"/>
        <v>197826.13103247489</v>
      </c>
      <c r="I39" s="207">
        <f t="shared" si="1"/>
        <v>791304.52412989957</v>
      </c>
      <c r="K39" s="211"/>
      <c r="L39" s="270"/>
    </row>
    <row r="40" spans="1:12" ht="13.15" customHeight="1" x14ac:dyDescent="0.3">
      <c r="A40" s="50" t="s">
        <v>39</v>
      </c>
      <c r="B40" s="53"/>
      <c r="C40" s="480"/>
      <c r="D40" s="295">
        <f t="shared" ref="D40:G40" si="11">SUM(D41:D42)</f>
        <v>1849901.6458338285</v>
      </c>
      <c r="E40" s="295">
        <f t="shared" si="11"/>
        <v>1865290.8690689073</v>
      </c>
      <c r="F40" s="295">
        <f t="shared" ref="F40" si="12">SUM(F41:F42)</f>
        <v>1872776.6192038383</v>
      </c>
      <c r="G40" s="294">
        <f t="shared" si="11"/>
        <v>1896979.9389569929</v>
      </c>
      <c r="H40" s="54">
        <f t="shared" ref="H40:H86" si="13">IFERROR(AVERAGE(C40:G40),0)</f>
        <v>1871237.2682658918</v>
      </c>
      <c r="I40" s="54">
        <f t="shared" ref="I40:I86" si="14">SUM(C40:G40)</f>
        <v>7484949.0730635673</v>
      </c>
      <c r="K40" s="465" t="s">
        <v>432</v>
      </c>
      <c r="L40" s="270"/>
    </row>
    <row r="41" spans="1:12" ht="13.15" customHeight="1" x14ac:dyDescent="0.3">
      <c r="A41" s="33" t="s">
        <v>40</v>
      </c>
      <c r="B41" s="12"/>
      <c r="C41" s="470"/>
      <c r="D41" s="312">
        <v>1700261.7399050198</v>
      </c>
      <c r="E41" s="312">
        <v>1714903.2544800497</v>
      </c>
      <c r="F41" s="547">
        <v>1722456.1653903385</v>
      </c>
      <c r="G41" s="313">
        <v>1744909.9195599263</v>
      </c>
      <c r="H41" s="206">
        <f t="shared" si="13"/>
        <v>1720632.7698338334</v>
      </c>
      <c r="I41" s="206">
        <f t="shared" si="14"/>
        <v>6882531.0793353338</v>
      </c>
      <c r="K41" s="211"/>
      <c r="L41" s="270"/>
    </row>
    <row r="42" spans="1:12" ht="13.15" customHeight="1" x14ac:dyDescent="0.3">
      <c r="A42" s="25" t="s">
        <v>191</v>
      </c>
      <c r="B42" s="12"/>
      <c r="C42" s="470"/>
      <c r="D42" s="312">
        <v>149639.9059288087</v>
      </c>
      <c r="E42" s="312">
        <v>150387.61458885757</v>
      </c>
      <c r="F42" s="547">
        <v>150320.45381349977</v>
      </c>
      <c r="G42" s="313">
        <v>152070.01939706664</v>
      </c>
      <c r="H42" s="207">
        <f t="shared" si="13"/>
        <v>150604.49843205817</v>
      </c>
      <c r="I42" s="207">
        <f t="shared" si="14"/>
        <v>602417.99372823269</v>
      </c>
      <c r="K42" s="211"/>
      <c r="L42" s="270"/>
    </row>
    <row r="43" spans="1:12" ht="13.15" customHeight="1" x14ac:dyDescent="0.3">
      <c r="A43" s="50" t="s">
        <v>41</v>
      </c>
      <c r="B43" s="53"/>
      <c r="C43" s="480"/>
      <c r="D43" s="295">
        <f t="shared" ref="D43:G43" si="15">SUM(D44:D48)</f>
        <v>679009.90142860031</v>
      </c>
      <c r="E43" s="295">
        <f t="shared" si="15"/>
        <v>683640.28856249014</v>
      </c>
      <c r="F43" s="295">
        <f t="shared" ref="F43" si="16">SUM(F44:F48)</f>
        <v>685986.37366148434</v>
      </c>
      <c r="G43" s="294">
        <f t="shared" si="15"/>
        <v>693080.93152267521</v>
      </c>
      <c r="H43" s="54">
        <f t="shared" si="13"/>
        <v>685429.37379381247</v>
      </c>
      <c r="I43" s="54">
        <f t="shared" si="14"/>
        <v>2741717.4951752499</v>
      </c>
      <c r="K43" s="465" t="s">
        <v>303</v>
      </c>
      <c r="L43" s="270"/>
    </row>
    <row r="44" spans="1:12" ht="13.15" customHeight="1" x14ac:dyDescent="0.3">
      <c r="A44" s="33" t="s">
        <v>307</v>
      </c>
      <c r="B44" s="12"/>
      <c r="C44" s="470"/>
      <c r="D44" s="312">
        <v>4926</v>
      </c>
      <c r="E44" s="312">
        <v>4926</v>
      </c>
      <c r="F44" s="547">
        <v>4926</v>
      </c>
      <c r="G44" s="313">
        <v>4926</v>
      </c>
      <c r="H44" s="206">
        <f t="shared" si="13"/>
        <v>4926</v>
      </c>
      <c r="I44" s="206">
        <f t="shared" si="14"/>
        <v>19704</v>
      </c>
      <c r="K44" s="211"/>
      <c r="L44" s="270"/>
    </row>
    <row r="45" spans="1:12" ht="13.15" customHeight="1" x14ac:dyDescent="0.3">
      <c r="A45" s="25" t="s">
        <v>308</v>
      </c>
      <c r="B45" s="12"/>
      <c r="C45" s="470"/>
      <c r="D45" s="312">
        <v>0</v>
      </c>
      <c r="E45" s="312">
        <v>0</v>
      </c>
      <c r="F45" s="547">
        <v>0</v>
      </c>
      <c r="G45" s="313">
        <v>0</v>
      </c>
      <c r="H45" s="207">
        <f t="shared" si="13"/>
        <v>0</v>
      </c>
      <c r="I45" s="207">
        <f t="shared" si="14"/>
        <v>0</v>
      </c>
      <c r="K45" s="211"/>
      <c r="L45" s="270"/>
    </row>
    <row r="46" spans="1:12" ht="13.15" customHeight="1" x14ac:dyDescent="0.3">
      <c r="A46" s="33" t="s">
        <v>84</v>
      </c>
      <c r="B46" s="12"/>
      <c r="C46" s="470"/>
      <c r="D46" s="312">
        <v>50000</v>
      </c>
      <c r="E46" s="312">
        <v>50000</v>
      </c>
      <c r="F46" s="547">
        <v>50000</v>
      </c>
      <c r="G46" s="313">
        <v>50000</v>
      </c>
      <c r="H46" s="207">
        <f t="shared" si="13"/>
        <v>50000</v>
      </c>
      <c r="I46" s="207">
        <f t="shared" si="14"/>
        <v>200000</v>
      </c>
      <c r="K46" s="211"/>
      <c r="L46" s="270"/>
    </row>
    <row r="47" spans="1:12" ht="13.15" customHeight="1" x14ac:dyDescent="0.3">
      <c r="A47" s="33" t="s">
        <v>42</v>
      </c>
      <c r="B47" s="12"/>
      <c r="C47" s="470"/>
      <c r="D47" s="312">
        <v>0</v>
      </c>
      <c r="E47" s="312">
        <v>0</v>
      </c>
      <c r="F47" s="547">
        <v>0</v>
      </c>
      <c r="G47" s="313">
        <v>0</v>
      </c>
      <c r="H47" s="207">
        <f t="shared" si="13"/>
        <v>0</v>
      </c>
      <c r="I47" s="207">
        <f t="shared" si="14"/>
        <v>0</v>
      </c>
      <c r="K47" s="211"/>
      <c r="L47" s="270"/>
    </row>
    <row r="48" spans="1:12" ht="13.15" customHeight="1" x14ac:dyDescent="0.3">
      <c r="A48" s="33" t="s">
        <v>85</v>
      </c>
      <c r="B48" s="12"/>
      <c r="C48" s="470"/>
      <c r="D48" s="312">
        <v>624083.90142860031</v>
      </c>
      <c r="E48" s="312">
        <v>628714.28856249014</v>
      </c>
      <c r="F48" s="547">
        <v>631060.37366148434</v>
      </c>
      <c r="G48" s="313">
        <v>638154.93152267521</v>
      </c>
      <c r="H48" s="207">
        <f t="shared" si="13"/>
        <v>630503.37379381247</v>
      </c>
      <c r="I48" s="207">
        <f t="shared" si="14"/>
        <v>2522013.4951752499</v>
      </c>
      <c r="K48" s="211"/>
      <c r="L48" s="270"/>
    </row>
    <row r="49" spans="1:16" ht="13.15" customHeight="1" x14ac:dyDescent="0.3">
      <c r="A49" s="50" t="s">
        <v>174</v>
      </c>
      <c r="B49" s="53" t="s">
        <v>362</v>
      </c>
      <c r="C49" s="480"/>
      <c r="D49" s="295">
        <f>SUM(D50:D74)</f>
        <v>294613.44444444444</v>
      </c>
      <c r="E49" s="295">
        <f t="shared" ref="E49:G49" si="17">SUM(E50:E74)</f>
        <v>332913.44444444444</v>
      </c>
      <c r="F49" s="295">
        <f t="shared" si="17"/>
        <v>353913.44444444444</v>
      </c>
      <c r="G49" s="294">
        <f t="shared" si="17"/>
        <v>205013.84444444446</v>
      </c>
      <c r="H49" s="54">
        <f t="shared" si="13"/>
        <v>296613.54444444441</v>
      </c>
      <c r="I49" s="54">
        <f t="shared" si="14"/>
        <v>1186454.1777777777</v>
      </c>
      <c r="K49" s="465" t="s">
        <v>302</v>
      </c>
      <c r="L49" s="270"/>
    </row>
    <row r="50" spans="1:16" ht="13.15" customHeight="1" x14ac:dyDescent="0.3">
      <c r="A50" s="258" t="str">
        <f>IF('5b'!A5="","-",'5b'!A5)</f>
        <v>Camion nacelle</v>
      </c>
      <c r="B50" s="255"/>
      <c r="C50" s="488"/>
      <c r="D50" s="13">
        <f>'5b'!D35</f>
        <v>7000</v>
      </c>
      <c r="E50" s="13">
        <f>'5b'!E35</f>
        <v>7000</v>
      </c>
      <c r="F50" s="548">
        <f>'5b'!F35</f>
        <v>7000</v>
      </c>
      <c r="G50" s="159">
        <f>'5b'!G35</f>
        <v>0</v>
      </c>
      <c r="H50" s="206">
        <f t="shared" si="13"/>
        <v>5250</v>
      </c>
      <c r="I50" s="206">
        <f t="shared" si="14"/>
        <v>21000</v>
      </c>
      <c r="K50" s="211"/>
      <c r="L50" s="270"/>
    </row>
    <row r="51" spans="1:16" ht="13.15" customHeight="1" x14ac:dyDescent="0.3">
      <c r="A51" s="258" t="str">
        <f>IF('5b'!A6="","-",'5b'!A6)</f>
        <v>Nacelle (dépôt de Houdain)</v>
      </c>
      <c r="B51" s="255"/>
      <c r="C51" s="488"/>
      <c r="D51" s="13">
        <f>'5b'!D36</f>
        <v>14250.111111111111</v>
      </c>
      <c r="E51" s="13">
        <f>'5b'!E36</f>
        <v>14250.111111111111</v>
      </c>
      <c r="F51" s="548">
        <f>'5b'!F36</f>
        <v>14250.111111111111</v>
      </c>
      <c r="G51" s="159">
        <f>'5b'!G36</f>
        <v>14250.111111111111</v>
      </c>
      <c r="H51" s="207">
        <f t="shared" si="13"/>
        <v>14250.111111111111</v>
      </c>
      <c r="I51" s="207">
        <f t="shared" si="14"/>
        <v>57000.444444444445</v>
      </c>
      <c r="K51" s="211"/>
      <c r="L51" s="270"/>
    </row>
    <row r="52" spans="1:16" ht="13.15" customHeight="1" x14ac:dyDescent="0.3">
      <c r="A52" s="258" t="str">
        <f>IF('5b'!A7="","-",'5b'!A7)</f>
        <v>Jeux de 6 colonnes (dépôt de Hénin)</v>
      </c>
      <c r="B52" s="255"/>
      <c r="C52" s="488"/>
      <c r="D52" s="13">
        <f>'5b'!D37</f>
        <v>5333.333333333333</v>
      </c>
      <c r="E52" s="13">
        <f>'5b'!E37</f>
        <v>5333.333333333333</v>
      </c>
      <c r="F52" s="548">
        <f>'5b'!F37</f>
        <v>5333.333333333333</v>
      </c>
      <c r="G52" s="159">
        <f>'5b'!G37</f>
        <v>5333.333333333333</v>
      </c>
      <c r="H52" s="207">
        <f t="shared" si="13"/>
        <v>5333.333333333333</v>
      </c>
      <c r="I52" s="207">
        <f t="shared" si="14"/>
        <v>21333.333333333332</v>
      </c>
      <c r="K52" s="211"/>
      <c r="L52" s="270"/>
    </row>
    <row r="53" spans="1:16" ht="13.15" customHeight="1" x14ac:dyDescent="0.3">
      <c r="A53" s="258" t="str">
        <f>IF('5b'!A8="","-",'5b'!A8)</f>
        <v>Renouvellement des équipements et amélioration 1
 (Enveloppe annuelle pour renouvellement des équipements atelier)</v>
      </c>
      <c r="B53" s="255"/>
      <c r="C53" s="488"/>
      <c r="D53" s="13">
        <f>'5b'!D38</f>
        <v>5000</v>
      </c>
      <c r="E53" s="13">
        <f>'5b'!E38</f>
        <v>5000</v>
      </c>
      <c r="F53" s="548">
        <f>'5b'!F38</f>
        <v>5000</v>
      </c>
      <c r="G53" s="159">
        <f>'5b'!G38</f>
        <v>5000</v>
      </c>
      <c r="H53" s="207">
        <f t="shared" si="13"/>
        <v>5000</v>
      </c>
      <c r="I53" s="207">
        <f t="shared" si="14"/>
        <v>20000</v>
      </c>
      <c r="K53" s="211"/>
      <c r="L53" s="270"/>
    </row>
    <row r="54" spans="1:16" ht="13.15" customHeight="1" x14ac:dyDescent="0.3">
      <c r="A54" s="258" t="str">
        <f>IF('5b'!A9="","-",'5b'!A9)</f>
        <v>Renouvellement des équipements et amélioration 2
 (Enveloppe annuelle pour renouvellement des équipements atelier)</v>
      </c>
      <c r="B54" s="255"/>
      <c r="C54" s="488"/>
      <c r="D54" s="13">
        <f>'5b'!D39</f>
        <v>5000</v>
      </c>
      <c r="E54" s="13">
        <f>'5b'!E39</f>
        <v>5000</v>
      </c>
      <c r="F54" s="548">
        <f>'5b'!F39</f>
        <v>5000</v>
      </c>
      <c r="G54" s="159">
        <f>'5b'!G39</f>
        <v>5000</v>
      </c>
      <c r="H54" s="207">
        <f t="shared" si="13"/>
        <v>5000</v>
      </c>
      <c r="I54" s="207">
        <f t="shared" si="14"/>
        <v>20000</v>
      </c>
      <c r="K54" s="211"/>
      <c r="L54" s="270"/>
    </row>
    <row r="55" spans="1:16" s="172" customFormat="1" ht="13.15" customHeight="1" x14ac:dyDescent="0.3">
      <c r="A55" s="359" t="str">
        <f>IF('5b'!A10="","-",'5b'!A10)</f>
        <v>Renouvellement des équipements et amélioration 3
 (Enveloppe annuelle pour renouvellement des équipements atelier)</v>
      </c>
      <c r="B55" s="360"/>
      <c r="C55" s="489"/>
      <c r="D55" s="363">
        <f>'5b'!D40</f>
        <v>5000</v>
      </c>
      <c r="E55" s="363">
        <f>'5b'!E40</f>
        <v>5000</v>
      </c>
      <c r="F55" s="549">
        <f>'5b'!F40</f>
        <v>5000</v>
      </c>
      <c r="G55" s="364">
        <f>'5b'!G40</f>
        <v>5000</v>
      </c>
      <c r="H55" s="357">
        <f t="shared" si="13"/>
        <v>5000</v>
      </c>
      <c r="I55" s="357">
        <f t="shared" si="14"/>
        <v>20000</v>
      </c>
      <c r="K55" s="358"/>
      <c r="L55" s="271"/>
      <c r="M55" s="271"/>
      <c r="N55" s="271"/>
      <c r="O55" s="271"/>
      <c r="P55" s="271"/>
    </row>
    <row r="56" spans="1:16" s="172" customFormat="1" ht="13.15" customHeight="1" x14ac:dyDescent="0.3">
      <c r="A56" s="359" t="str">
        <f>IF('5b'!A11="","-",'5b'!A11)</f>
        <v>Renouvellement des équipements et amélioration 4
 (Enveloppe annuelle pour renouvellement des équipements atelier)</v>
      </c>
      <c r="B56" s="360"/>
      <c r="C56" s="489"/>
      <c r="D56" s="363">
        <f>'5b'!D41</f>
        <v>0</v>
      </c>
      <c r="E56" s="363">
        <f>'5b'!E41</f>
        <v>5000</v>
      </c>
      <c r="F56" s="549">
        <f>'5b'!F41</f>
        <v>5000</v>
      </c>
      <c r="G56" s="364">
        <f>'5b'!G41</f>
        <v>5000</v>
      </c>
      <c r="H56" s="357">
        <f t="shared" si="13"/>
        <v>3750</v>
      </c>
      <c r="I56" s="357">
        <f t="shared" si="14"/>
        <v>15000</v>
      </c>
      <c r="K56" s="358"/>
      <c r="L56" s="271"/>
      <c r="M56" s="271"/>
      <c r="N56" s="271"/>
      <c r="O56" s="271"/>
      <c r="P56" s="271"/>
    </row>
    <row r="57" spans="1:16" s="172" customFormat="1" ht="13.15" customHeight="1" x14ac:dyDescent="0.3">
      <c r="A57" s="359" t="str">
        <f>IF('5b'!A12="","-",'5b'!A12)</f>
        <v>Renouvellement des équipements et amélioration 5
 (Enveloppe annuelle pour renouvellement des équipements atelier)</v>
      </c>
      <c r="B57" s="360"/>
      <c r="C57" s="489"/>
      <c r="D57" s="363">
        <f>'5b'!D42</f>
        <v>0</v>
      </c>
      <c r="E57" s="363">
        <f>'5b'!E42</f>
        <v>0</v>
      </c>
      <c r="F57" s="549">
        <f>'5b'!F42</f>
        <v>5000</v>
      </c>
      <c r="G57" s="364">
        <f>'5b'!G42</f>
        <v>5000</v>
      </c>
      <c r="H57" s="357">
        <f t="shared" si="13"/>
        <v>2500</v>
      </c>
      <c r="I57" s="357">
        <f t="shared" si="14"/>
        <v>10000</v>
      </c>
      <c r="K57" s="358"/>
      <c r="L57" s="271"/>
      <c r="M57" s="271"/>
      <c r="N57" s="271"/>
      <c r="O57" s="271"/>
      <c r="P57" s="271"/>
    </row>
    <row r="58" spans="1:16" s="172" customFormat="1" ht="13.15" customHeight="1" x14ac:dyDescent="0.3">
      <c r="A58" s="359" t="str">
        <f>IF('5b'!A13="","-",'5b'!A13)</f>
        <v>Renouvellement des équipements et amélioration 6
 (Enveloppe annuelle pour renouvellement des équipements atelier)</v>
      </c>
      <c r="B58" s="360"/>
      <c r="C58" s="489"/>
      <c r="D58" s="363">
        <f>'5b'!D43</f>
        <v>0</v>
      </c>
      <c r="E58" s="363">
        <f>'5b'!E43</f>
        <v>0</v>
      </c>
      <c r="F58" s="549">
        <f>'5b'!F43</f>
        <v>0</v>
      </c>
      <c r="G58" s="364">
        <f>'5b'!G43</f>
        <v>5000</v>
      </c>
      <c r="H58" s="357">
        <f t="shared" si="13"/>
        <v>1250</v>
      </c>
      <c r="I58" s="357">
        <f t="shared" si="14"/>
        <v>5000</v>
      </c>
      <c r="K58" s="358"/>
      <c r="L58" s="271"/>
      <c r="M58" s="271"/>
      <c r="N58" s="271"/>
      <c r="O58" s="271"/>
      <c r="P58" s="271"/>
    </row>
    <row r="59" spans="1:16" ht="13.15" customHeight="1" x14ac:dyDescent="0.3">
      <c r="A59" s="258" t="str">
        <f>IF('5b'!A14="","-",'5b'!A14)</f>
        <v>Infrastructures 2024 (Socle de virtualisation, aménagement salles serveur, 
infrastructure cœur réseau, Wifi à bord, renouvellement wifi en station, 
postes de travail bureautique et industriel, centre d'appel)</v>
      </c>
      <c r="B59" s="255"/>
      <c r="C59" s="488"/>
      <c r="D59" s="13">
        <f>'5b'!D44</f>
        <v>52383.6</v>
      </c>
      <c r="E59" s="13">
        <f>'5b'!E44</f>
        <v>52383.6</v>
      </c>
      <c r="F59" s="548">
        <f>'5b'!F44</f>
        <v>52383.6</v>
      </c>
      <c r="G59" s="159">
        <f>'5b'!G44</f>
        <v>0</v>
      </c>
      <c r="H59" s="207">
        <f t="shared" si="13"/>
        <v>39287.699999999997</v>
      </c>
      <c r="I59" s="207">
        <f t="shared" si="14"/>
        <v>157150.79999999999</v>
      </c>
      <c r="K59" s="211"/>
      <c r="L59" s="270"/>
    </row>
    <row r="60" spans="1:16" ht="13.15" customHeight="1" x14ac:dyDescent="0.3">
      <c r="A60" s="258" t="str">
        <f>IF('5b'!A15="","-",'5b'!A15)</f>
        <v>Infrastructures 2025 (Socle de virtualisation, aménagement salles serveur
, routeurs wifi véhicules et stations,  postes de travail bureautique et industriel,renouvellement borne conducteur connecté)</v>
      </c>
      <c r="B60" s="255"/>
      <c r="C60" s="488"/>
      <c r="D60" s="13">
        <f>'5b'!D45</f>
        <v>41270.400000000001</v>
      </c>
      <c r="E60" s="13">
        <f>'5b'!E45</f>
        <v>41270.400000000001</v>
      </c>
      <c r="F60" s="548">
        <f>'5b'!F45</f>
        <v>41270.400000000001</v>
      </c>
      <c r="G60" s="159">
        <f>'5b'!G45</f>
        <v>41270.400000000001</v>
      </c>
      <c r="H60" s="207">
        <f t="shared" ref="H60:H74" si="18">IFERROR(AVERAGE(C60:G60),0)</f>
        <v>41270.400000000001</v>
      </c>
      <c r="I60" s="207">
        <f t="shared" ref="I60:I74" si="19">SUM(C60:G60)</f>
        <v>165081.60000000001</v>
      </c>
      <c r="K60" s="211"/>
      <c r="L60" s="270"/>
    </row>
    <row r="61" spans="1:16" ht="13.15" customHeight="1" x14ac:dyDescent="0.3">
      <c r="A61" s="258" t="str">
        <f>IF('5b'!A16="","-",'5b'!A16)</f>
        <v>Infrastructures 2026 
(Socle de virtualisation, renouvellement des switchs d'accès, renouvellement des PDU, postes de travail bureautiques et industriels, centre d'appel)</v>
      </c>
      <c r="B61" s="255"/>
      <c r="C61" s="488"/>
      <c r="D61" s="13">
        <f>'5b'!D46</f>
        <v>30360</v>
      </c>
      <c r="E61" s="13">
        <f>'5b'!E46</f>
        <v>30360</v>
      </c>
      <c r="F61" s="548">
        <f>'5b'!F46</f>
        <v>30360</v>
      </c>
      <c r="G61" s="159">
        <f>'5b'!G46</f>
        <v>30360</v>
      </c>
      <c r="H61" s="207">
        <f t="shared" si="18"/>
        <v>30360</v>
      </c>
      <c r="I61" s="207">
        <f t="shared" si="19"/>
        <v>121440</v>
      </c>
      <c r="K61" s="211"/>
      <c r="L61" s="270"/>
    </row>
    <row r="62" spans="1:16" ht="13.15" customHeight="1" x14ac:dyDescent="0.3">
      <c r="A62" s="258" t="str">
        <f>IF('5b'!A17="","-",'5b'!A17)</f>
        <v>Infrastructures 2027 (renouvellement infrastructure cœur de réseau, aménagement salles serveurs, postes de travail bureautique &amp; industriels)</v>
      </c>
      <c r="B62" s="255"/>
      <c r="C62" s="488"/>
      <c r="D62" s="13">
        <f>'5b'!D47</f>
        <v>0</v>
      </c>
      <c r="E62" s="13">
        <f>'5b'!E47</f>
        <v>30000</v>
      </c>
      <c r="F62" s="548">
        <f>'5b'!F47</f>
        <v>30000</v>
      </c>
      <c r="G62" s="159">
        <f>'5b'!G47</f>
        <v>30000</v>
      </c>
      <c r="H62" s="207">
        <f t="shared" si="18"/>
        <v>22500</v>
      </c>
      <c r="I62" s="207">
        <f t="shared" si="19"/>
        <v>90000</v>
      </c>
      <c r="K62" s="211"/>
      <c r="L62" s="270"/>
    </row>
    <row r="63" spans="1:16" ht="13.15" customHeight="1" x14ac:dyDescent="0.3">
      <c r="A63" s="258" t="str">
        <f>IF('5b'!A18="","-",'5b'!A18)</f>
        <v>Infrastructures 2028 (Renouvellement postes de travail bureautiqueset industriels)</v>
      </c>
      <c r="B63" s="255"/>
      <c r="C63" s="488"/>
      <c r="D63" s="13">
        <f>'5b'!D48</f>
        <v>0</v>
      </c>
      <c r="E63" s="13">
        <f>'5b'!E48</f>
        <v>0</v>
      </c>
      <c r="F63" s="548">
        <f>'5b'!F48</f>
        <v>8400</v>
      </c>
      <c r="G63" s="159">
        <f>'5b'!G48</f>
        <v>8400</v>
      </c>
      <c r="H63" s="207">
        <f t="shared" si="18"/>
        <v>4200</v>
      </c>
      <c r="I63" s="207">
        <f t="shared" si="19"/>
        <v>16800</v>
      </c>
      <c r="K63" s="211"/>
      <c r="L63" s="270"/>
    </row>
    <row r="64" spans="1:16" ht="13.15" customHeight="1" x14ac:dyDescent="0.3">
      <c r="A64" s="258" t="str">
        <f>IF('5b'!A19="","-",'5b'!A19)</f>
        <v>Infrastructures 2029  (Renouvellement postes de travail bureautiqueset industriels)</v>
      </c>
      <c r="B64" s="255"/>
      <c r="C64" s="488"/>
      <c r="D64" s="13">
        <f>'5b'!D49</f>
        <v>0</v>
      </c>
      <c r="E64" s="13">
        <f>'5b'!E49</f>
        <v>0</v>
      </c>
      <c r="F64" s="548">
        <f>'5b'!F49</f>
        <v>0</v>
      </c>
      <c r="G64" s="159">
        <f>'5b'!G49</f>
        <v>6400</v>
      </c>
      <c r="H64" s="207">
        <f t="shared" si="18"/>
        <v>1600</v>
      </c>
      <c r="I64" s="207">
        <f t="shared" si="19"/>
        <v>6400</v>
      </c>
      <c r="K64" s="211"/>
      <c r="L64" s="270"/>
    </row>
    <row r="65" spans="1:12" ht="13.15" customHeight="1" x14ac:dyDescent="0.3">
      <c r="A65" s="258" t="str">
        <f>IF('5b'!A20="","-",'5b'!A20)</f>
        <v>Camion de dépannage 2024 - renouvellmement des camions de dépannage atelier</v>
      </c>
      <c r="B65" s="255"/>
      <c r="C65" s="488"/>
      <c r="D65" s="13">
        <f>'5b'!D50</f>
        <v>15200</v>
      </c>
      <c r="E65" s="13">
        <f>'5b'!E50</f>
        <v>15200</v>
      </c>
      <c r="F65" s="548">
        <f>'5b'!F50</f>
        <v>15200</v>
      </c>
      <c r="G65" s="159">
        <f>'5b'!G50</f>
        <v>0</v>
      </c>
      <c r="H65" s="207">
        <f t="shared" si="18"/>
        <v>11400</v>
      </c>
      <c r="I65" s="207">
        <f t="shared" si="19"/>
        <v>45600</v>
      </c>
      <c r="K65" s="211"/>
      <c r="L65" s="270"/>
    </row>
    <row r="66" spans="1:12" ht="13.15" customHeight="1" x14ac:dyDescent="0.3">
      <c r="A66" s="258" t="str">
        <f>IF('5b'!A21="","-",'5b'!A21)</f>
        <v>Camion de dépannage 2026</v>
      </c>
      <c r="B66" s="255"/>
      <c r="C66" s="488"/>
      <c r="D66" s="13">
        <f>'5b'!D51</f>
        <v>7600</v>
      </c>
      <c r="E66" s="13">
        <f>'5b'!E51</f>
        <v>7600</v>
      </c>
      <c r="F66" s="548">
        <f>'5b'!F51</f>
        <v>7600</v>
      </c>
      <c r="G66" s="159">
        <f>'5b'!G51</f>
        <v>7600</v>
      </c>
      <c r="H66" s="207">
        <f t="shared" si="18"/>
        <v>7600</v>
      </c>
      <c r="I66" s="207">
        <f t="shared" si="19"/>
        <v>30400</v>
      </c>
      <c r="K66" s="211"/>
      <c r="L66" s="270"/>
    </row>
    <row r="67" spans="1:12" ht="13.15" customHeight="1" x14ac:dyDescent="0.3">
      <c r="A67" s="258" t="str">
        <f>IF('5b'!A22="","-",'5b'!A22)</f>
        <v>Camion de dépannage 2028</v>
      </c>
      <c r="B67" s="255"/>
      <c r="C67" s="488"/>
      <c r="D67" s="13">
        <f>'5b'!D52</f>
        <v>0</v>
      </c>
      <c r="E67" s="13">
        <f>'5b'!E52</f>
        <v>0</v>
      </c>
      <c r="F67" s="548">
        <f>'5b'!F52</f>
        <v>7600</v>
      </c>
      <c r="G67" s="159">
        <f>'5b'!G52</f>
        <v>7600</v>
      </c>
      <c r="H67" s="207">
        <f t="shared" si="18"/>
        <v>3800</v>
      </c>
      <c r="I67" s="207">
        <f t="shared" si="19"/>
        <v>15200</v>
      </c>
      <c r="K67" s="211"/>
      <c r="L67" s="270"/>
    </row>
    <row r="68" spans="1:12" ht="13.15" customHeight="1" x14ac:dyDescent="0.3">
      <c r="A68" s="258" t="str">
        <f>IF('5b'!A23="","-",'5b'!A23)</f>
        <v>Services vélos</v>
      </c>
      <c r="B68" s="255"/>
      <c r="C68" s="488"/>
      <c r="D68" s="13">
        <f>'5b'!D53</f>
        <v>5016</v>
      </c>
      <c r="E68" s="13">
        <f>'5b'!E53</f>
        <v>5016</v>
      </c>
      <c r="F68" s="548">
        <f>'5b'!F53</f>
        <v>5016</v>
      </c>
      <c r="G68" s="159">
        <f>'5b'!G53</f>
        <v>0</v>
      </c>
      <c r="H68" s="207">
        <f t="shared" si="18"/>
        <v>3762</v>
      </c>
      <c r="I68" s="207">
        <f t="shared" si="19"/>
        <v>15048</v>
      </c>
      <c r="K68" s="211"/>
      <c r="L68" s="270"/>
    </row>
    <row r="69" spans="1:12" ht="13.15" customHeight="1" x14ac:dyDescent="0.3">
      <c r="A69" s="258" t="str">
        <f>IF('5b'!A24="","-",'5b'!A24)</f>
        <v>Système d'information voyageur 2024 - Site internet et investissements associés</v>
      </c>
      <c r="B69" s="255"/>
      <c r="C69" s="488"/>
      <c r="D69" s="13">
        <f>'5b'!D54</f>
        <v>74300</v>
      </c>
      <c r="E69" s="13">
        <f>'5b'!E54</f>
        <v>74300</v>
      </c>
      <c r="F69" s="548">
        <f>'5b'!F54</f>
        <v>74300</v>
      </c>
      <c r="G69" s="159">
        <f>'5b'!G54</f>
        <v>0</v>
      </c>
      <c r="H69" s="207">
        <f t="shared" si="18"/>
        <v>55725</v>
      </c>
      <c r="I69" s="207">
        <f t="shared" si="19"/>
        <v>222900</v>
      </c>
      <c r="K69" s="211"/>
      <c r="L69" s="270"/>
    </row>
    <row r="70" spans="1:12" ht="13.15" customHeight="1" x14ac:dyDescent="0.3">
      <c r="A70" s="258" t="str">
        <f>IF('5b'!A25="","-",'5b'!A25)</f>
        <v>Système d'information voyageur 2025 - Site internet et investissements associés</v>
      </c>
      <c r="B70" s="255"/>
      <c r="C70" s="488"/>
      <c r="D70" s="13">
        <f>'5b'!D55</f>
        <v>17200</v>
      </c>
      <c r="E70" s="13">
        <f>'5b'!E55</f>
        <v>17200</v>
      </c>
      <c r="F70" s="548">
        <f>'5b'!F55</f>
        <v>17200</v>
      </c>
      <c r="G70" s="159">
        <f>'5b'!G55</f>
        <v>17200</v>
      </c>
      <c r="H70" s="207">
        <f t="shared" si="18"/>
        <v>17200</v>
      </c>
      <c r="I70" s="207">
        <f t="shared" si="19"/>
        <v>68800</v>
      </c>
      <c r="K70" s="211"/>
      <c r="L70" s="270"/>
    </row>
    <row r="71" spans="1:12" ht="13.15" customHeight="1" x14ac:dyDescent="0.3">
      <c r="A71" s="258" t="str">
        <f>IF('5b'!A26="","-",'5b'!A26)</f>
        <v>Véhicule utilitaire Vélos</v>
      </c>
      <c r="B71" s="255"/>
      <c r="C71" s="488"/>
      <c r="D71" s="13">
        <f>'5b'!D56</f>
        <v>6400</v>
      </c>
      <c r="E71" s="13">
        <f>'5b'!E56</f>
        <v>6400</v>
      </c>
      <c r="F71" s="548">
        <f>'5b'!F56</f>
        <v>6400</v>
      </c>
      <c r="G71" s="159">
        <f>'5b'!G56</f>
        <v>0</v>
      </c>
      <c r="H71" s="207">
        <f t="shared" si="18"/>
        <v>4800</v>
      </c>
      <c r="I71" s="207">
        <f t="shared" si="19"/>
        <v>19200</v>
      </c>
      <c r="K71" s="211"/>
      <c r="L71" s="270"/>
    </row>
    <row r="72" spans="1:12" ht="13.15" customHeight="1" x14ac:dyDescent="0.3">
      <c r="A72" s="258" t="str">
        <f>IF('5b'!A27="","-",'5b'!A27)</f>
        <v>Batteries VAE (30) et trottinettes (5)</v>
      </c>
      <c r="B72" s="255"/>
      <c r="C72" s="488"/>
      <c r="D72" s="13">
        <f>'5b'!D57</f>
        <v>3300</v>
      </c>
      <c r="E72" s="13">
        <f>'5b'!E57</f>
        <v>3300</v>
      </c>
      <c r="F72" s="548">
        <f>'5b'!F57</f>
        <v>3300</v>
      </c>
      <c r="G72" s="159">
        <f>'5b'!G57</f>
        <v>3300</v>
      </c>
      <c r="H72" s="207">
        <f t="shared" si="18"/>
        <v>3300</v>
      </c>
      <c r="I72" s="207">
        <f t="shared" si="19"/>
        <v>13200</v>
      </c>
      <c r="K72" s="211"/>
      <c r="L72" s="270"/>
    </row>
    <row r="73" spans="1:12" ht="13.15" customHeight="1" x14ac:dyDescent="0.3">
      <c r="A73" s="258" t="str">
        <f>IF('5b'!A28="","-",'5b'!A28)</f>
        <v>Batteries VAE (30) et trottinettes (5)</v>
      </c>
      <c r="B73" s="255"/>
      <c r="C73" s="488"/>
      <c r="D73" s="13">
        <f>'5b'!D58</f>
        <v>0</v>
      </c>
      <c r="E73" s="13">
        <f>'5b'!E58</f>
        <v>3300</v>
      </c>
      <c r="F73" s="548">
        <f>'5b'!F58</f>
        <v>3300</v>
      </c>
      <c r="G73" s="159">
        <f>'5b'!G58</f>
        <v>3300</v>
      </c>
      <c r="H73" s="207">
        <f t="shared" si="18"/>
        <v>2475</v>
      </c>
      <c r="I73" s="207">
        <f t="shared" si="19"/>
        <v>9900</v>
      </c>
      <c r="K73" s="211"/>
      <c r="L73" s="270"/>
    </row>
    <row r="74" spans="1:12" ht="13.15" customHeight="1" x14ac:dyDescent="0.3">
      <c r="A74" s="258" t="str">
        <f>IF('5b'!A29="","-",'5b'!A29)</f>
        <v>-</v>
      </c>
      <c r="B74" s="255"/>
      <c r="C74" s="488"/>
      <c r="D74" s="13">
        <f>'5b'!D59</f>
        <v>0</v>
      </c>
      <c r="E74" s="13">
        <f>'5b'!E59</f>
        <v>0</v>
      </c>
      <c r="F74" s="548">
        <f>'5b'!F59</f>
        <v>0</v>
      </c>
      <c r="G74" s="159">
        <f>'5b'!G59</f>
        <v>0</v>
      </c>
      <c r="H74" s="207">
        <f t="shared" si="18"/>
        <v>0</v>
      </c>
      <c r="I74" s="207">
        <f t="shared" si="19"/>
        <v>0</v>
      </c>
      <c r="K74" s="211"/>
      <c r="L74" s="270"/>
    </row>
    <row r="75" spans="1:12" ht="13.15" customHeight="1" x14ac:dyDescent="0.3">
      <c r="A75" s="50" t="s">
        <v>176</v>
      </c>
      <c r="B75" s="53" t="s">
        <v>361</v>
      </c>
      <c r="C75" s="480"/>
      <c r="D75" s="295">
        <f t="shared" ref="D75:G75" si="20">SUM(D76:D85)</f>
        <v>370000</v>
      </c>
      <c r="E75" s="295">
        <f t="shared" si="20"/>
        <v>370000</v>
      </c>
      <c r="F75" s="295">
        <f t="shared" ref="F75" si="21">SUM(F76:F85)</f>
        <v>370000</v>
      </c>
      <c r="G75" s="294">
        <f t="shared" si="20"/>
        <v>370000</v>
      </c>
      <c r="H75" s="54">
        <f t="shared" si="13"/>
        <v>370000</v>
      </c>
      <c r="I75" s="54">
        <f t="shared" si="14"/>
        <v>1480000</v>
      </c>
      <c r="K75" s="212"/>
      <c r="L75" s="270"/>
    </row>
    <row r="76" spans="1:12" ht="13.15" customHeight="1" x14ac:dyDescent="0.3">
      <c r="A76" s="33" t="str">
        <f>IF('5c'!A6="","-",'5c'!A6)</f>
        <v>Renouvellement batteries</v>
      </c>
      <c r="B76" s="12"/>
      <c r="C76" s="488"/>
      <c r="D76" s="13">
        <f>'5c'!D6</f>
        <v>370000</v>
      </c>
      <c r="E76" s="13">
        <f>'5c'!E6</f>
        <v>370000</v>
      </c>
      <c r="F76" s="548">
        <f>'5c'!F6</f>
        <v>370000</v>
      </c>
      <c r="G76" s="159">
        <f>'5c'!G6</f>
        <v>370000</v>
      </c>
      <c r="H76" s="206">
        <f t="shared" si="13"/>
        <v>370000</v>
      </c>
      <c r="I76" s="206">
        <f t="shared" si="14"/>
        <v>1480000</v>
      </c>
      <c r="K76" s="211"/>
      <c r="L76" s="270"/>
    </row>
    <row r="77" spans="1:12" ht="13.15" customHeight="1" x14ac:dyDescent="0.3">
      <c r="A77" s="33" t="str">
        <f>IF('5c'!A7="","-",'5c'!A7)</f>
        <v>-</v>
      </c>
      <c r="B77" s="12"/>
      <c r="C77" s="488"/>
      <c r="D77" s="13">
        <f>'5c'!D7</f>
        <v>0</v>
      </c>
      <c r="E77" s="13">
        <f>'5c'!E7</f>
        <v>0</v>
      </c>
      <c r="F77" s="548">
        <f>'5c'!F7</f>
        <v>0</v>
      </c>
      <c r="G77" s="159">
        <f>'5c'!G7</f>
        <v>0</v>
      </c>
      <c r="H77" s="207">
        <f t="shared" si="13"/>
        <v>0</v>
      </c>
      <c r="I77" s="207">
        <f t="shared" si="14"/>
        <v>0</v>
      </c>
      <c r="K77" s="211"/>
      <c r="L77" s="270"/>
    </row>
    <row r="78" spans="1:12" ht="13.15" customHeight="1" x14ac:dyDescent="0.3">
      <c r="A78" s="33" t="str">
        <f>IF('5c'!A8="","-",'5c'!A8)</f>
        <v>-</v>
      </c>
      <c r="B78" s="12"/>
      <c r="C78" s="488"/>
      <c r="D78" s="13">
        <f>'5c'!D8</f>
        <v>0</v>
      </c>
      <c r="E78" s="13">
        <f>'5c'!E8</f>
        <v>0</v>
      </c>
      <c r="F78" s="548">
        <f>'5c'!F8</f>
        <v>0</v>
      </c>
      <c r="G78" s="159">
        <f>'5c'!G8</f>
        <v>0</v>
      </c>
      <c r="H78" s="207">
        <f t="shared" si="13"/>
        <v>0</v>
      </c>
      <c r="I78" s="207">
        <f t="shared" si="14"/>
        <v>0</v>
      </c>
      <c r="K78" s="211"/>
      <c r="L78" s="270"/>
    </row>
    <row r="79" spans="1:12" ht="13.15" customHeight="1" x14ac:dyDescent="0.3">
      <c r="A79" s="33" t="str">
        <f>IF('5c'!A9="","-",'5c'!A9)</f>
        <v>-</v>
      </c>
      <c r="B79" s="12"/>
      <c r="C79" s="488"/>
      <c r="D79" s="13">
        <f>'5c'!D9</f>
        <v>0</v>
      </c>
      <c r="E79" s="13">
        <f>'5c'!E9</f>
        <v>0</v>
      </c>
      <c r="F79" s="548">
        <f>'5c'!F9</f>
        <v>0</v>
      </c>
      <c r="G79" s="159">
        <f>'5c'!G9</f>
        <v>0</v>
      </c>
      <c r="H79" s="207">
        <f t="shared" si="13"/>
        <v>0</v>
      </c>
      <c r="I79" s="207">
        <f t="shared" si="14"/>
        <v>0</v>
      </c>
      <c r="K79" s="211"/>
      <c r="L79" s="270"/>
    </row>
    <row r="80" spans="1:12" ht="13.15" customHeight="1" x14ac:dyDescent="0.3">
      <c r="A80" s="33" t="str">
        <f>IF('5c'!A10="","-",'5c'!A10)</f>
        <v>-</v>
      </c>
      <c r="B80" s="12"/>
      <c r="C80" s="488"/>
      <c r="D80" s="13">
        <f>'5c'!D10</f>
        <v>0</v>
      </c>
      <c r="E80" s="13">
        <f>'5c'!E10</f>
        <v>0</v>
      </c>
      <c r="F80" s="548">
        <f>'5c'!F10</f>
        <v>0</v>
      </c>
      <c r="G80" s="159">
        <f>'5c'!G10</f>
        <v>0</v>
      </c>
      <c r="H80" s="207">
        <f t="shared" si="13"/>
        <v>0</v>
      </c>
      <c r="I80" s="207">
        <f t="shared" si="14"/>
        <v>0</v>
      </c>
      <c r="K80" s="211"/>
      <c r="L80" s="270"/>
    </row>
    <row r="81" spans="1:12" ht="13.15" customHeight="1" x14ac:dyDescent="0.3">
      <c r="A81" s="33" t="str">
        <f>IF('5c'!A11="","-",'5c'!A11)</f>
        <v>-</v>
      </c>
      <c r="B81" s="12"/>
      <c r="C81" s="488"/>
      <c r="D81" s="13">
        <f>'5c'!D11</f>
        <v>0</v>
      </c>
      <c r="E81" s="13">
        <f>'5c'!E11</f>
        <v>0</v>
      </c>
      <c r="F81" s="548">
        <f>'5c'!F11</f>
        <v>0</v>
      </c>
      <c r="G81" s="159">
        <f>'5c'!G11</f>
        <v>0</v>
      </c>
      <c r="H81" s="207">
        <f t="shared" si="13"/>
        <v>0</v>
      </c>
      <c r="I81" s="207">
        <f t="shared" si="14"/>
        <v>0</v>
      </c>
      <c r="K81" s="211"/>
      <c r="L81" s="270"/>
    </row>
    <row r="82" spans="1:12" ht="13.15" customHeight="1" x14ac:dyDescent="0.3">
      <c r="A82" s="33" t="str">
        <f>IF('5c'!A12="","-",'5c'!A12)</f>
        <v>-</v>
      </c>
      <c r="B82" s="12"/>
      <c r="C82" s="488"/>
      <c r="D82" s="13">
        <f>'5c'!D12</f>
        <v>0</v>
      </c>
      <c r="E82" s="13">
        <f>'5c'!E12</f>
        <v>0</v>
      </c>
      <c r="F82" s="548">
        <f>'5c'!F12</f>
        <v>0</v>
      </c>
      <c r="G82" s="159">
        <f>'5c'!G12</f>
        <v>0</v>
      </c>
      <c r="H82" s="207">
        <f t="shared" si="13"/>
        <v>0</v>
      </c>
      <c r="I82" s="207">
        <f t="shared" si="14"/>
        <v>0</v>
      </c>
      <c r="K82" s="211"/>
      <c r="L82" s="270"/>
    </row>
    <row r="83" spans="1:12" ht="13.15" customHeight="1" x14ac:dyDescent="0.3">
      <c r="A83" s="33" t="str">
        <f>IF('5c'!A13="","-",'5c'!A13)</f>
        <v>-</v>
      </c>
      <c r="B83" s="12"/>
      <c r="C83" s="488"/>
      <c r="D83" s="13">
        <f>'5c'!D13</f>
        <v>0</v>
      </c>
      <c r="E83" s="13">
        <f>'5c'!E13</f>
        <v>0</v>
      </c>
      <c r="F83" s="548">
        <f>'5c'!F13</f>
        <v>0</v>
      </c>
      <c r="G83" s="159">
        <f>'5c'!G13</f>
        <v>0</v>
      </c>
      <c r="H83" s="207">
        <f t="shared" si="13"/>
        <v>0</v>
      </c>
      <c r="I83" s="207">
        <f t="shared" si="14"/>
        <v>0</v>
      </c>
      <c r="K83" s="211"/>
      <c r="L83" s="270"/>
    </row>
    <row r="84" spans="1:12" ht="13.15" customHeight="1" x14ac:dyDescent="0.3">
      <c r="A84" s="33" t="str">
        <f>IF('5c'!A14="","-",'5c'!A14)</f>
        <v>-</v>
      </c>
      <c r="B84" s="12"/>
      <c r="C84" s="488"/>
      <c r="D84" s="13">
        <f>'5c'!D14</f>
        <v>0</v>
      </c>
      <c r="E84" s="13">
        <f>'5c'!E14</f>
        <v>0</v>
      </c>
      <c r="F84" s="548">
        <f>'5c'!F14</f>
        <v>0</v>
      </c>
      <c r="G84" s="159">
        <f>'5c'!G14</f>
        <v>0</v>
      </c>
      <c r="H84" s="207">
        <f t="shared" si="13"/>
        <v>0</v>
      </c>
      <c r="I84" s="207">
        <f t="shared" si="14"/>
        <v>0</v>
      </c>
      <c r="K84" s="211"/>
      <c r="L84" s="270"/>
    </row>
    <row r="85" spans="1:12" ht="13.15" customHeight="1" x14ac:dyDescent="0.3">
      <c r="A85" s="33" t="str">
        <f>IF('5c'!A15="","-",'5c'!A15)</f>
        <v>-</v>
      </c>
      <c r="B85" s="12"/>
      <c r="C85" s="488"/>
      <c r="D85" s="13">
        <f>'5c'!D15</f>
        <v>0</v>
      </c>
      <c r="E85" s="13">
        <f>'5c'!E15</f>
        <v>0</v>
      </c>
      <c r="F85" s="548">
        <f>'5c'!F15</f>
        <v>0</v>
      </c>
      <c r="G85" s="159">
        <f>'5c'!G15</f>
        <v>0</v>
      </c>
      <c r="H85" s="207">
        <f t="shared" si="13"/>
        <v>0</v>
      </c>
      <c r="I85" s="207">
        <f t="shared" si="14"/>
        <v>0</v>
      </c>
      <c r="K85" s="211"/>
      <c r="L85" s="270"/>
    </row>
    <row r="86" spans="1:12" ht="13.15" customHeight="1" x14ac:dyDescent="0.3">
      <c r="A86" s="50" t="s">
        <v>43</v>
      </c>
      <c r="B86" s="53"/>
      <c r="C86" s="480"/>
      <c r="D86" s="295">
        <f t="shared" ref="D86:G86" si="22">SUM(D87:D110)</f>
        <v>3491799.7693655244</v>
      </c>
      <c r="E86" s="295">
        <f t="shared" si="22"/>
        <v>3461936.0743218274</v>
      </c>
      <c r="F86" s="295">
        <f t="shared" ref="F86" si="23">SUM(F87:F110)</f>
        <v>3439994.521931496</v>
      </c>
      <c r="G86" s="294">
        <f t="shared" si="22"/>
        <v>3465369.7939422275</v>
      </c>
      <c r="H86" s="54">
        <f t="shared" si="13"/>
        <v>3464775.0398902688</v>
      </c>
      <c r="I86" s="54">
        <f t="shared" si="14"/>
        <v>13859100.159561075</v>
      </c>
      <c r="K86" s="465" t="s">
        <v>301</v>
      </c>
      <c r="L86" s="270"/>
    </row>
    <row r="87" spans="1:12" ht="13.15" customHeight="1" x14ac:dyDescent="0.3">
      <c r="A87" s="25" t="s">
        <v>44</v>
      </c>
      <c r="B87" s="12"/>
      <c r="C87" s="470"/>
      <c r="D87" s="312">
        <v>4000.0000000000009</v>
      </c>
      <c r="E87" s="312">
        <v>4000.0000000000009</v>
      </c>
      <c r="F87" s="547">
        <v>4000.0000000000009</v>
      </c>
      <c r="G87" s="313">
        <v>4000.0000000000009</v>
      </c>
      <c r="H87" s="206">
        <f t="shared" ref="H87:H121" si="24">IFERROR(AVERAGE(C87:G87),0)</f>
        <v>4000.0000000000009</v>
      </c>
      <c r="I87" s="206">
        <f t="shared" ref="I87:I121" si="25">SUM(C87:G87)</f>
        <v>16000.000000000004</v>
      </c>
      <c r="K87" s="211"/>
      <c r="L87" s="270"/>
    </row>
    <row r="88" spans="1:12" ht="13.15" customHeight="1" x14ac:dyDescent="0.3">
      <c r="A88" s="25" t="s">
        <v>45</v>
      </c>
      <c r="B88" s="12"/>
      <c r="C88" s="470"/>
      <c r="D88" s="312">
        <v>228500</v>
      </c>
      <c r="E88" s="312">
        <v>236500</v>
      </c>
      <c r="F88" s="547">
        <v>221500</v>
      </c>
      <c r="G88" s="313">
        <v>243500</v>
      </c>
      <c r="H88" s="207">
        <f t="shared" si="24"/>
        <v>232500</v>
      </c>
      <c r="I88" s="207">
        <f t="shared" si="25"/>
        <v>930000</v>
      </c>
      <c r="K88" s="211"/>
      <c r="L88" s="270"/>
    </row>
    <row r="89" spans="1:12" ht="13.15" customHeight="1" x14ac:dyDescent="0.3">
      <c r="A89" s="620" t="s">
        <v>499</v>
      </c>
      <c r="B89" s="12"/>
      <c r="C89" s="470"/>
      <c r="D89" s="621">
        <v>221000</v>
      </c>
      <c r="E89" s="621">
        <v>221000</v>
      </c>
      <c r="F89" s="622">
        <v>221000</v>
      </c>
      <c r="G89" s="623">
        <v>221000</v>
      </c>
      <c r="H89" s="207">
        <f t="shared" ref="H89:H91" si="26">IFERROR(AVERAGE(C89:G89),0)</f>
        <v>221000</v>
      </c>
      <c r="I89" s="207">
        <f t="shared" ref="I89:I91" si="27">SUM(C89:G89)</f>
        <v>884000</v>
      </c>
      <c r="K89" s="211"/>
      <c r="L89" s="270"/>
    </row>
    <row r="90" spans="1:12" ht="13.15" customHeight="1" x14ac:dyDescent="0.3">
      <c r="A90" s="620" t="s">
        <v>500</v>
      </c>
      <c r="B90" s="12"/>
      <c r="C90" s="470"/>
      <c r="D90" s="621">
        <v>411737.56401158351</v>
      </c>
      <c r="E90" s="621">
        <v>414356.27656995447</v>
      </c>
      <c r="F90" s="622">
        <v>413879.09536077466</v>
      </c>
      <c r="G90" s="623">
        <v>419603.31105329649</v>
      </c>
      <c r="H90" s="207">
        <f t="shared" si="26"/>
        <v>414894.06174890231</v>
      </c>
      <c r="I90" s="207">
        <f t="shared" si="27"/>
        <v>1659576.2469956093</v>
      </c>
      <c r="K90" s="211"/>
      <c r="L90" s="270"/>
    </row>
    <row r="91" spans="1:12" ht="13.15" customHeight="1" x14ac:dyDescent="0.3">
      <c r="A91" s="620" t="s">
        <v>501</v>
      </c>
      <c r="B91" s="12"/>
      <c r="C91" s="470"/>
      <c r="D91" s="621">
        <v>370000</v>
      </c>
      <c r="E91" s="621">
        <v>370000</v>
      </c>
      <c r="F91" s="622">
        <v>370000</v>
      </c>
      <c r="G91" s="623">
        <v>370000</v>
      </c>
      <c r="H91" s="207">
        <f t="shared" si="26"/>
        <v>370000</v>
      </c>
      <c r="I91" s="207">
        <f t="shared" si="27"/>
        <v>1480000</v>
      </c>
      <c r="K91" s="211"/>
      <c r="L91" s="270"/>
    </row>
    <row r="92" spans="1:12" ht="13.15" customHeight="1" x14ac:dyDescent="0.3">
      <c r="A92" s="25" t="s">
        <v>46</v>
      </c>
      <c r="B92" s="12"/>
      <c r="C92" s="470"/>
      <c r="D92" s="312">
        <v>0</v>
      </c>
      <c r="E92" s="312">
        <v>0</v>
      </c>
      <c r="F92" s="547">
        <v>0</v>
      </c>
      <c r="G92" s="313">
        <v>0</v>
      </c>
      <c r="H92" s="207">
        <f t="shared" si="24"/>
        <v>0</v>
      </c>
      <c r="I92" s="207">
        <f t="shared" si="25"/>
        <v>0</v>
      </c>
      <c r="K92" s="211"/>
      <c r="L92" s="270"/>
    </row>
    <row r="93" spans="1:12" ht="13.15" customHeight="1" x14ac:dyDescent="0.3">
      <c r="A93" s="25" t="s">
        <v>47</v>
      </c>
      <c r="B93" s="12"/>
      <c r="C93" s="470"/>
      <c r="D93" s="312">
        <v>-75129.71798359575</v>
      </c>
      <c r="E93" s="312">
        <v>-75561.105170095165</v>
      </c>
      <c r="F93" s="547">
        <v>-76167.344245156884</v>
      </c>
      <c r="G93" s="313">
        <v>-76616.885521708697</v>
      </c>
      <c r="H93" s="207">
        <f t="shared" si="24"/>
        <v>-75868.763230139128</v>
      </c>
      <c r="I93" s="207">
        <f t="shared" si="25"/>
        <v>-303475.05292055651</v>
      </c>
      <c r="K93" s="211"/>
      <c r="L93" s="270"/>
    </row>
    <row r="94" spans="1:12" ht="13.15" customHeight="1" x14ac:dyDescent="0.3">
      <c r="A94" s="25" t="s">
        <v>48</v>
      </c>
      <c r="B94" s="12"/>
      <c r="C94" s="470"/>
      <c r="D94" s="312">
        <v>18399.999999999996</v>
      </c>
      <c r="E94" s="312">
        <v>18399.999999999996</v>
      </c>
      <c r="F94" s="547">
        <v>18399.999999999996</v>
      </c>
      <c r="G94" s="313">
        <v>18399.999999999996</v>
      </c>
      <c r="H94" s="207">
        <f t="shared" si="24"/>
        <v>18399.999999999996</v>
      </c>
      <c r="I94" s="207">
        <f t="shared" si="25"/>
        <v>73599.999999999985</v>
      </c>
      <c r="K94" s="211"/>
      <c r="L94" s="270"/>
    </row>
    <row r="95" spans="1:12" ht="13.15" customHeight="1" x14ac:dyDescent="0.3">
      <c r="A95" s="25" t="s">
        <v>86</v>
      </c>
      <c r="B95" s="12"/>
      <c r="C95" s="470"/>
      <c r="D95" s="312">
        <v>0</v>
      </c>
      <c r="E95" s="312">
        <v>0</v>
      </c>
      <c r="F95" s="547">
        <v>0</v>
      </c>
      <c r="G95" s="313">
        <v>0</v>
      </c>
      <c r="H95" s="207">
        <f t="shared" si="24"/>
        <v>0</v>
      </c>
      <c r="I95" s="207">
        <f t="shared" si="25"/>
        <v>0</v>
      </c>
      <c r="K95" s="211"/>
      <c r="L95" s="270"/>
    </row>
    <row r="96" spans="1:12" ht="13.15" customHeight="1" x14ac:dyDescent="0.3">
      <c r="A96" s="25" t="s">
        <v>49</v>
      </c>
      <c r="B96" s="12"/>
      <c r="C96" s="470"/>
      <c r="D96" s="312">
        <v>237720.33203749603</v>
      </c>
      <c r="E96" s="312">
        <v>237720.33203749603</v>
      </c>
      <c r="F96" s="547">
        <v>237720.33203749603</v>
      </c>
      <c r="G96" s="313">
        <v>237720.33203749603</v>
      </c>
      <c r="H96" s="207">
        <f t="shared" si="24"/>
        <v>237720.33203749603</v>
      </c>
      <c r="I96" s="207">
        <f t="shared" si="25"/>
        <v>950881.32814998413</v>
      </c>
      <c r="K96" s="211"/>
      <c r="L96" s="270"/>
    </row>
    <row r="97" spans="1:16" ht="13.15" customHeight="1" x14ac:dyDescent="0.3">
      <c r="A97" s="170" t="s">
        <v>50</v>
      </c>
      <c r="B97" s="12"/>
      <c r="C97" s="470"/>
      <c r="D97" s="312">
        <v>730431</v>
      </c>
      <c r="E97" s="312">
        <v>726431</v>
      </c>
      <c r="F97" s="547">
        <v>724431</v>
      </c>
      <c r="G97" s="313">
        <v>726431</v>
      </c>
      <c r="H97" s="207">
        <f t="shared" si="24"/>
        <v>726931</v>
      </c>
      <c r="I97" s="207">
        <f t="shared" si="25"/>
        <v>2907724</v>
      </c>
      <c r="K97" s="211"/>
      <c r="L97" s="270"/>
    </row>
    <row r="98" spans="1:16" ht="13.15" customHeight="1" x14ac:dyDescent="0.3">
      <c r="A98" s="25" t="s">
        <v>51</v>
      </c>
      <c r="B98" s="12"/>
      <c r="C98" s="470"/>
      <c r="D98" s="312">
        <v>20000</v>
      </c>
      <c r="E98" s="312">
        <v>20000</v>
      </c>
      <c r="F98" s="547">
        <v>20000</v>
      </c>
      <c r="G98" s="313">
        <v>20000</v>
      </c>
      <c r="H98" s="207">
        <f t="shared" si="24"/>
        <v>20000</v>
      </c>
      <c r="I98" s="207">
        <f t="shared" si="25"/>
        <v>80000</v>
      </c>
      <c r="K98" s="211"/>
      <c r="L98" s="270"/>
    </row>
    <row r="99" spans="1:16" ht="13.15" customHeight="1" x14ac:dyDescent="0.3">
      <c r="A99" s="25" t="s">
        <v>87</v>
      </c>
      <c r="B99" s="12"/>
      <c r="C99" s="470"/>
      <c r="D99" s="312">
        <v>90000</v>
      </c>
      <c r="E99" s="312">
        <v>90000</v>
      </c>
      <c r="F99" s="547">
        <v>90000</v>
      </c>
      <c r="G99" s="313">
        <v>90000</v>
      </c>
      <c r="H99" s="207">
        <f t="shared" si="24"/>
        <v>90000</v>
      </c>
      <c r="I99" s="207">
        <f t="shared" si="25"/>
        <v>360000</v>
      </c>
      <c r="K99" s="211"/>
      <c r="L99" s="270"/>
    </row>
    <row r="100" spans="1:16" ht="13.15" customHeight="1" x14ac:dyDescent="0.3">
      <c r="A100" s="170" t="s">
        <v>92</v>
      </c>
      <c r="B100" s="12"/>
      <c r="C100" s="470"/>
      <c r="D100" s="312">
        <v>46728.383561643845</v>
      </c>
      <c r="E100" s="312">
        <v>46724.191780821915</v>
      </c>
      <c r="F100" s="547">
        <v>46725.573770491806</v>
      </c>
      <c r="G100" s="313">
        <v>46872.999999999993</v>
      </c>
      <c r="H100" s="207">
        <f t="shared" si="24"/>
        <v>46762.78727823939</v>
      </c>
      <c r="I100" s="207">
        <f t="shared" si="25"/>
        <v>187051.14911295756</v>
      </c>
      <c r="K100" s="211"/>
      <c r="L100" s="270"/>
    </row>
    <row r="101" spans="1:16" s="172" customFormat="1" ht="13.15" customHeight="1" x14ac:dyDescent="0.3">
      <c r="A101" s="170" t="s">
        <v>52</v>
      </c>
      <c r="B101" s="356"/>
      <c r="C101" s="490"/>
      <c r="D101" s="361">
        <v>40000</v>
      </c>
      <c r="E101" s="361">
        <v>40000</v>
      </c>
      <c r="F101" s="550">
        <v>40000</v>
      </c>
      <c r="G101" s="362">
        <v>40000</v>
      </c>
      <c r="H101" s="357">
        <f t="shared" si="24"/>
        <v>40000</v>
      </c>
      <c r="I101" s="357">
        <f t="shared" si="25"/>
        <v>160000</v>
      </c>
      <c r="K101" s="358"/>
      <c r="L101" s="271"/>
      <c r="M101" s="271"/>
      <c r="N101" s="271"/>
      <c r="O101" s="271"/>
      <c r="P101" s="271"/>
    </row>
    <row r="102" spans="1:16" ht="13.15" customHeight="1" x14ac:dyDescent="0.3">
      <c r="A102" s="170" t="s">
        <v>88</v>
      </c>
      <c r="B102" s="12"/>
      <c r="C102" s="470"/>
      <c r="D102" s="312">
        <v>180300</v>
      </c>
      <c r="E102" s="312">
        <v>144300</v>
      </c>
      <c r="F102" s="547">
        <v>140300</v>
      </c>
      <c r="G102" s="313">
        <v>136300</v>
      </c>
      <c r="H102" s="207">
        <f t="shared" si="24"/>
        <v>150300</v>
      </c>
      <c r="I102" s="207">
        <f t="shared" si="25"/>
        <v>601200</v>
      </c>
      <c r="K102" s="211"/>
      <c r="L102" s="270"/>
    </row>
    <row r="103" spans="1:16" ht="13.15" customHeight="1" x14ac:dyDescent="0.3">
      <c r="A103" s="170" t="s">
        <v>53</v>
      </c>
      <c r="B103" s="12"/>
      <c r="C103" s="470"/>
      <c r="D103" s="312">
        <v>333197.1576946454</v>
      </c>
      <c r="E103" s="312">
        <v>333197.1576946454</v>
      </c>
      <c r="F103" s="547">
        <v>333197.1576946454</v>
      </c>
      <c r="G103" s="313">
        <v>333197.1576946454</v>
      </c>
      <c r="H103" s="207">
        <f t="shared" si="24"/>
        <v>333197.1576946454</v>
      </c>
      <c r="I103" s="207">
        <f t="shared" si="25"/>
        <v>1332788.6307785816</v>
      </c>
      <c r="K103" s="211"/>
      <c r="L103" s="270"/>
    </row>
    <row r="104" spans="1:16" ht="13.15" customHeight="1" x14ac:dyDescent="0.3">
      <c r="A104" s="170" t="s">
        <v>89</v>
      </c>
      <c r="B104" s="12"/>
      <c r="C104" s="470"/>
      <c r="D104" s="312">
        <v>110000</v>
      </c>
      <c r="E104" s="312">
        <v>110000</v>
      </c>
      <c r="F104" s="547">
        <v>110000</v>
      </c>
      <c r="G104" s="313">
        <v>110000</v>
      </c>
      <c r="H104" s="207">
        <f t="shared" si="24"/>
        <v>110000</v>
      </c>
      <c r="I104" s="207">
        <f t="shared" si="25"/>
        <v>440000</v>
      </c>
      <c r="K104" s="211"/>
      <c r="L104" s="270"/>
    </row>
    <row r="105" spans="1:16" ht="13.15" customHeight="1" x14ac:dyDescent="0.3">
      <c r="A105" s="544" t="s">
        <v>482</v>
      </c>
      <c r="B105" s="12"/>
      <c r="C105" s="470"/>
      <c r="D105" s="312">
        <v>0</v>
      </c>
      <c r="E105" s="312">
        <v>0</v>
      </c>
      <c r="F105" s="547">
        <v>0</v>
      </c>
      <c r="G105" s="313">
        <v>0</v>
      </c>
      <c r="H105" s="207">
        <f t="shared" ref="H105" si="28">IFERROR(AVERAGE(C105:G105),0)</f>
        <v>0</v>
      </c>
      <c r="I105" s="207">
        <f t="shared" ref="I105" si="29">SUM(C105:G105)</f>
        <v>0</v>
      </c>
      <c r="K105" s="211"/>
      <c r="L105" s="270"/>
    </row>
    <row r="106" spans="1:16" ht="13.15" customHeight="1" x14ac:dyDescent="0.3">
      <c r="A106" s="170" t="s">
        <v>90</v>
      </c>
      <c r="B106" s="12"/>
      <c r="C106" s="470"/>
      <c r="D106" s="312">
        <v>98600</v>
      </c>
      <c r="E106" s="312">
        <v>98600</v>
      </c>
      <c r="F106" s="547">
        <v>98600</v>
      </c>
      <c r="G106" s="313">
        <v>98600</v>
      </c>
      <c r="H106" s="207">
        <f t="shared" si="24"/>
        <v>98600</v>
      </c>
      <c r="I106" s="207">
        <f t="shared" si="25"/>
        <v>394400</v>
      </c>
      <c r="K106" s="211"/>
      <c r="L106" s="270"/>
    </row>
    <row r="107" spans="1:16" ht="13.15" customHeight="1" x14ac:dyDescent="0.3">
      <c r="A107" s="170" t="s">
        <v>54</v>
      </c>
      <c r="B107" s="12"/>
      <c r="C107" s="470"/>
      <c r="D107" s="312">
        <v>415000</v>
      </c>
      <c r="E107" s="312">
        <v>415000</v>
      </c>
      <c r="F107" s="547">
        <v>415000</v>
      </c>
      <c r="G107" s="313">
        <v>415000</v>
      </c>
      <c r="H107" s="207">
        <f t="shared" si="24"/>
        <v>415000</v>
      </c>
      <c r="I107" s="207">
        <f t="shared" si="25"/>
        <v>1660000</v>
      </c>
      <c r="K107" s="211"/>
      <c r="L107" s="270"/>
    </row>
    <row r="108" spans="1:16" ht="13.15" customHeight="1" x14ac:dyDescent="0.3">
      <c r="A108" s="170" t="s">
        <v>91</v>
      </c>
      <c r="B108" s="12"/>
      <c r="C108" s="470"/>
      <c r="D108" s="312">
        <v>0</v>
      </c>
      <c r="E108" s="312">
        <v>0</v>
      </c>
      <c r="F108" s="547">
        <v>0</v>
      </c>
      <c r="G108" s="313">
        <v>0</v>
      </c>
      <c r="H108" s="207">
        <f t="shared" si="24"/>
        <v>0</v>
      </c>
      <c r="I108" s="207">
        <f t="shared" si="25"/>
        <v>0</v>
      </c>
      <c r="K108" s="211"/>
      <c r="L108" s="270"/>
    </row>
    <row r="109" spans="1:16" ht="13.15" customHeight="1" x14ac:dyDescent="0.3">
      <c r="A109" s="624" t="s">
        <v>8</v>
      </c>
      <c r="B109" s="12"/>
      <c r="C109" s="470"/>
      <c r="D109" s="621">
        <f>-'4a'!$Q$475</f>
        <v>0</v>
      </c>
      <c r="E109" s="621">
        <f>-'4a'!$Q$475</f>
        <v>0</v>
      </c>
      <c r="F109" s="622">
        <f>-'4a'!$Q$475</f>
        <v>0</v>
      </c>
      <c r="G109" s="623">
        <f>-'4a'!$Q$475</f>
        <v>0</v>
      </c>
      <c r="H109" s="207">
        <f t="shared" ref="H109" si="30">IFERROR(AVERAGE(C109:G109),0)</f>
        <v>0</v>
      </c>
      <c r="I109" s="207">
        <f t="shared" ref="I109" si="31">SUM(C109:G109)</f>
        <v>0</v>
      </c>
      <c r="K109" s="211"/>
      <c r="L109" s="270"/>
    </row>
    <row r="110" spans="1:16" ht="13.15" customHeight="1" x14ac:dyDescent="0.3">
      <c r="A110" s="25" t="s">
        <v>55</v>
      </c>
      <c r="B110" s="12"/>
      <c r="C110" s="470"/>
      <c r="D110" s="312">
        <v>11315.050043751526</v>
      </c>
      <c r="E110" s="312">
        <v>11268.221409004816</v>
      </c>
      <c r="F110" s="547">
        <v>11408.707313244944</v>
      </c>
      <c r="G110" s="313">
        <v>11361.878678498235</v>
      </c>
      <c r="H110" s="207">
        <f t="shared" si="24"/>
        <v>11338.464361124881</v>
      </c>
      <c r="I110" s="207">
        <f t="shared" si="25"/>
        <v>45353.857444499525</v>
      </c>
      <c r="K110" s="211"/>
      <c r="L110" s="270"/>
    </row>
    <row r="111" spans="1:16" ht="13.15" customHeight="1" x14ac:dyDescent="0.3">
      <c r="A111" s="50" t="s">
        <v>441</v>
      </c>
      <c r="B111" s="53"/>
      <c r="C111" s="225">
        <f>SUM(C112:C117)</f>
        <v>250000</v>
      </c>
      <c r="D111" s="491"/>
      <c r="E111" s="491"/>
      <c r="F111" s="491"/>
      <c r="G111" s="492"/>
      <c r="H111" s="54">
        <f t="shared" si="24"/>
        <v>250000</v>
      </c>
      <c r="I111" s="54">
        <f t="shared" si="25"/>
        <v>250000</v>
      </c>
      <c r="K111" s="212"/>
      <c r="L111" s="270"/>
    </row>
    <row r="112" spans="1:16" ht="13.15" customHeight="1" x14ac:dyDescent="0.3">
      <c r="A112" s="466" t="s">
        <v>494</v>
      </c>
      <c r="B112" s="12"/>
      <c r="C112" s="589">
        <v>100000</v>
      </c>
      <c r="D112" s="467"/>
      <c r="E112" s="467"/>
      <c r="F112" s="551"/>
      <c r="G112" s="468"/>
      <c r="H112" s="206">
        <f t="shared" si="24"/>
        <v>100000</v>
      </c>
      <c r="I112" s="206">
        <f t="shared" si="25"/>
        <v>100000</v>
      </c>
      <c r="K112" s="211"/>
      <c r="L112" s="270"/>
    </row>
    <row r="113" spans="1:12" ht="13.15" customHeight="1" x14ac:dyDescent="0.3">
      <c r="A113" s="466" t="s">
        <v>486</v>
      </c>
      <c r="B113" s="12"/>
      <c r="C113" s="589">
        <v>100000</v>
      </c>
      <c r="D113" s="467"/>
      <c r="E113" s="467"/>
      <c r="F113" s="551"/>
      <c r="G113" s="468"/>
      <c r="H113" s="207">
        <f t="shared" si="24"/>
        <v>100000</v>
      </c>
      <c r="I113" s="207">
        <f t="shared" si="25"/>
        <v>100000</v>
      </c>
      <c r="K113" s="211"/>
      <c r="L113" s="270"/>
    </row>
    <row r="114" spans="1:12" ht="13.15" customHeight="1" x14ac:dyDescent="0.3">
      <c r="A114" s="466" t="s">
        <v>493</v>
      </c>
      <c r="B114" s="12"/>
      <c r="C114" s="589">
        <v>50000</v>
      </c>
      <c r="D114" s="467"/>
      <c r="E114" s="467"/>
      <c r="F114" s="551"/>
      <c r="G114" s="468"/>
      <c r="H114" s="207">
        <f t="shared" si="24"/>
        <v>50000</v>
      </c>
      <c r="I114" s="207">
        <f t="shared" si="25"/>
        <v>50000</v>
      </c>
      <c r="K114" s="211"/>
      <c r="L114" s="270"/>
    </row>
    <row r="115" spans="1:12" ht="13.15" customHeight="1" x14ac:dyDescent="0.3">
      <c r="A115" s="466" t="s">
        <v>442</v>
      </c>
      <c r="B115" s="12"/>
      <c r="C115" s="589"/>
      <c r="D115" s="467"/>
      <c r="E115" s="467"/>
      <c r="F115" s="551"/>
      <c r="G115" s="468"/>
      <c r="H115" s="207">
        <f t="shared" si="24"/>
        <v>0</v>
      </c>
      <c r="I115" s="207">
        <f t="shared" si="25"/>
        <v>0</v>
      </c>
      <c r="K115" s="211"/>
      <c r="L115" s="270"/>
    </row>
    <row r="116" spans="1:12" ht="13.15" customHeight="1" x14ac:dyDescent="0.3">
      <c r="A116" s="466" t="s">
        <v>442</v>
      </c>
      <c r="B116" s="12"/>
      <c r="C116" s="589"/>
      <c r="D116" s="467"/>
      <c r="E116" s="467"/>
      <c r="F116" s="551"/>
      <c r="G116" s="468"/>
      <c r="H116" s="207">
        <f t="shared" si="24"/>
        <v>0</v>
      </c>
      <c r="I116" s="207">
        <f t="shared" si="25"/>
        <v>0</v>
      </c>
      <c r="K116" s="211"/>
      <c r="L116" s="270"/>
    </row>
    <row r="117" spans="1:12" ht="13.15" customHeight="1" x14ac:dyDescent="0.3">
      <c r="A117" s="466" t="s">
        <v>442</v>
      </c>
      <c r="B117" s="12"/>
      <c r="C117" s="589"/>
      <c r="D117" s="467"/>
      <c r="E117" s="467"/>
      <c r="F117" s="551"/>
      <c r="G117" s="468"/>
      <c r="H117" s="207">
        <f t="shared" si="24"/>
        <v>0</v>
      </c>
      <c r="I117" s="207">
        <f t="shared" si="25"/>
        <v>0</v>
      </c>
      <c r="K117" s="211"/>
      <c r="L117" s="270"/>
    </row>
    <row r="118" spans="1:12" ht="13.15" customHeight="1" x14ac:dyDescent="0.3">
      <c r="A118" s="50" t="s">
        <v>201</v>
      </c>
      <c r="B118" s="53"/>
      <c r="C118" s="480"/>
      <c r="D118" s="295">
        <f>SUM(D119:D120)</f>
        <v>1783478.2159968102</v>
      </c>
      <c r="E118" s="295">
        <f t="shared" ref="E118:G118" si="32">SUM(E119:E120)</f>
        <v>1794083.492759248</v>
      </c>
      <c r="F118" s="295">
        <f t="shared" ref="F118" si="33">SUM(F119:F120)</f>
        <v>1799432.171279538</v>
      </c>
      <c r="G118" s="294">
        <f t="shared" si="32"/>
        <v>1815677.5491168012</v>
      </c>
      <c r="H118" s="54">
        <f t="shared" si="24"/>
        <v>1798167.8572880994</v>
      </c>
      <c r="I118" s="54">
        <f t="shared" si="25"/>
        <v>7192671.4291523974</v>
      </c>
      <c r="K118" s="212"/>
      <c r="L118" s="270"/>
    </row>
    <row r="119" spans="1:12" ht="13.15" customHeight="1" x14ac:dyDescent="0.3">
      <c r="A119" s="25" t="s">
        <v>104</v>
      </c>
      <c r="B119" s="12"/>
      <c r="C119" s="470"/>
      <c r="D119" s="312">
        <v>300000</v>
      </c>
      <c r="E119" s="312">
        <v>300000</v>
      </c>
      <c r="F119" s="547">
        <v>300000</v>
      </c>
      <c r="G119" s="313">
        <v>300000</v>
      </c>
      <c r="H119" s="206">
        <f t="shared" si="24"/>
        <v>300000</v>
      </c>
      <c r="I119" s="206">
        <f t="shared" si="25"/>
        <v>1200000</v>
      </c>
      <c r="K119" s="211"/>
      <c r="L119" s="270"/>
    </row>
    <row r="120" spans="1:12" ht="13.15" customHeight="1" x14ac:dyDescent="0.3">
      <c r="A120" s="25" t="s">
        <v>202</v>
      </c>
      <c r="B120" s="12"/>
      <c r="C120" s="470"/>
      <c r="D120" s="312">
        <v>1483478.2159968102</v>
      </c>
      <c r="E120" s="312">
        <v>1494083.492759248</v>
      </c>
      <c r="F120" s="316">
        <v>1499432.171279538</v>
      </c>
      <c r="G120" s="552">
        <v>1515677.5491168012</v>
      </c>
      <c r="H120" s="207">
        <f t="shared" si="24"/>
        <v>1498167.8572880994</v>
      </c>
      <c r="I120" s="207">
        <f t="shared" si="25"/>
        <v>5992671.4291523974</v>
      </c>
      <c r="K120" s="211"/>
      <c r="L120" s="270"/>
    </row>
    <row r="121" spans="1:12" ht="14.5" x14ac:dyDescent="0.35">
      <c r="A121" s="18" t="s">
        <v>7</v>
      </c>
      <c r="B121" s="34"/>
      <c r="C121" s="19">
        <f>C111</f>
        <v>250000</v>
      </c>
      <c r="D121" s="19">
        <f>D5+D24+D34+D40+D43+D49+D75+D86+D111+D118</f>
        <v>20724716.189904366</v>
      </c>
      <c r="E121" s="19">
        <f>E5+E24+E34+E40+E43+E49+E75+E86+E111+E118</f>
        <v>20625060.204234373</v>
      </c>
      <c r="F121" s="19">
        <f>F5+F24+F34+F40+F43+F49+F75+F86+F111+F118</f>
        <v>20773928.297811802</v>
      </c>
      <c r="G121" s="35">
        <f>G5+G24+G34+G40+G43+G49+G75+G86+G111+G118</f>
        <v>20661382.716947995</v>
      </c>
      <c r="H121" s="35">
        <f t="shared" si="24"/>
        <v>16607017.481779706</v>
      </c>
      <c r="I121" s="209">
        <f t="shared" si="25"/>
        <v>83035087.408898532</v>
      </c>
      <c r="K121" s="212"/>
    </row>
    <row r="122" spans="1:12" ht="13.15" customHeight="1" x14ac:dyDescent="0.35">
      <c r="K122"/>
    </row>
    <row r="123" spans="1:12" ht="13.15" customHeight="1" x14ac:dyDescent="0.35">
      <c r="B123" s="11"/>
      <c r="C123" s="11"/>
      <c r="D123" s="11"/>
      <c r="E123" s="11"/>
      <c r="F123" s="11"/>
      <c r="G123" s="11"/>
      <c r="K123"/>
    </row>
    <row r="124" spans="1:12" ht="13.15" customHeight="1" x14ac:dyDescent="0.35">
      <c r="C124" s="168"/>
      <c r="D124" s="168"/>
      <c r="E124" s="168"/>
      <c r="F124" s="168"/>
      <c r="G124" s="168"/>
      <c r="H124" s="168"/>
      <c r="K124"/>
    </row>
    <row r="125" spans="1:12" ht="13.15" customHeight="1" x14ac:dyDescent="0.35">
      <c r="K125"/>
    </row>
    <row r="126" spans="1:12" ht="13.15" customHeight="1" x14ac:dyDescent="0.35">
      <c r="C126" s="13"/>
      <c r="D126" s="233"/>
      <c r="E126" s="233"/>
      <c r="F126" s="233"/>
      <c r="G126" s="233"/>
      <c r="H126" s="13"/>
      <c r="K126"/>
    </row>
    <row r="127" spans="1:12" ht="13.15" customHeight="1" x14ac:dyDescent="0.35">
      <c r="C127" s="168"/>
      <c r="D127" s="234"/>
      <c r="E127" s="169"/>
      <c r="F127" s="169"/>
      <c r="G127" s="169"/>
      <c r="H127" s="169"/>
      <c r="J127" s="169"/>
      <c r="K127"/>
    </row>
    <row r="128" spans="1:12" ht="13.15" customHeight="1" x14ac:dyDescent="0.35">
      <c r="K128"/>
    </row>
    <row r="129" spans="1:11" ht="13.15" customHeight="1" x14ac:dyDescent="0.35">
      <c r="C129" s="11"/>
      <c r="D129" s="11"/>
      <c r="E129" s="11"/>
      <c r="F129" s="11"/>
      <c r="G129" s="11"/>
      <c r="H129" s="11"/>
      <c r="I129" s="11"/>
      <c r="J129" s="11"/>
      <c r="K129"/>
    </row>
    <row r="130" spans="1:11" ht="13.15" customHeight="1" x14ac:dyDescent="0.35">
      <c r="D130" s="11"/>
      <c r="E130" s="11"/>
      <c r="F130" s="11"/>
      <c r="G130" s="11"/>
      <c r="H130" s="11"/>
      <c r="J130" s="11"/>
      <c r="K130"/>
    </row>
    <row r="131" spans="1:11" ht="13.15" customHeight="1" x14ac:dyDescent="0.35">
      <c r="A131" s="172"/>
      <c r="D131" s="11"/>
      <c r="E131" s="11"/>
      <c r="F131" s="11"/>
      <c r="G131" s="11"/>
      <c r="H131" s="11"/>
      <c r="J131" s="11"/>
      <c r="K131"/>
    </row>
    <row r="132" spans="1:11" ht="13.15" customHeight="1" x14ac:dyDescent="0.35">
      <c r="A132" s="172"/>
      <c r="D132" s="11"/>
      <c r="E132" s="11"/>
      <c r="F132" s="11"/>
      <c r="G132" s="11"/>
      <c r="H132" s="11"/>
      <c r="J132" s="11"/>
      <c r="K132"/>
    </row>
    <row r="133" spans="1:11" ht="13.15" customHeight="1" x14ac:dyDescent="0.35">
      <c r="A133" s="172"/>
      <c r="D133" s="11"/>
      <c r="E133" s="11"/>
      <c r="F133" s="11"/>
      <c r="G133" s="11"/>
      <c r="H133" s="11"/>
      <c r="J133" s="11"/>
      <c r="K133"/>
    </row>
    <row r="134" spans="1:11" ht="13.15" customHeight="1" x14ac:dyDescent="0.35">
      <c r="A134" s="172"/>
      <c r="D134" s="235"/>
      <c r="E134" s="235"/>
      <c r="F134" s="235"/>
      <c r="G134" s="235"/>
      <c r="H134" s="11"/>
      <c r="J134" s="11"/>
      <c r="K134"/>
    </row>
    <row r="135" spans="1:11" ht="13.15" customHeight="1" x14ac:dyDescent="0.35">
      <c r="A135" s="172"/>
      <c r="D135" s="11"/>
      <c r="E135" s="11"/>
      <c r="F135" s="11"/>
      <c r="G135" s="11"/>
      <c r="H135" s="11"/>
      <c r="J135" s="11"/>
      <c r="K135"/>
    </row>
    <row r="136" spans="1:11" ht="13.15" customHeight="1" x14ac:dyDescent="0.35">
      <c r="A136" s="172"/>
      <c r="D136" s="11"/>
      <c r="E136" s="11"/>
      <c r="F136" s="11"/>
      <c r="G136" s="11"/>
      <c r="H136" s="11"/>
      <c r="J136" s="11"/>
      <c r="K136"/>
    </row>
    <row r="137" spans="1:11" ht="13.15" customHeight="1" x14ac:dyDescent="0.35">
      <c r="A137" s="172"/>
      <c r="D137" s="164"/>
      <c r="E137" s="164"/>
      <c r="F137" s="164"/>
      <c r="G137" s="164"/>
      <c r="H137" s="11"/>
      <c r="J137" s="11"/>
      <c r="K137"/>
    </row>
    <row r="138" spans="1:11" ht="13.15" customHeight="1" x14ac:dyDescent="0.35">
      <c r="A138" s="172"/>
      <c r="D138" s="11"/>
      <c r="E138" s="11"/>
      <c r="F138" s="11"/>
      <c r="G138" s="11"/>
      <c r="H138" s="11"/>
      <c r="J138" s="11"/>
      <c r="K138"/>
    </row>
    <row r="139" spans="1:11" ht="13.15" customHeight="1" x14ac:dyDescent="0.35">
      <c r="A139" s="172"/>
      <c r="D139" s="11"/>
      <c r="E139" s="11"/>
      <c r="F139" s="11"/>
      <c r="G139" s="11"/>
      <c r="H139" s="11"/>
      <c r="J139" s="11"/>
      <c r="K139"/>
    </row>
    <row r="140" spans="1:11" ht="13.15" customHeight="1" x14ac:dyDescent="0.35">
      <c r="A140" s="172"/>
      <c r="D140" s="11"/>
      <c r="E140" s="11"/>
      <c r="F140" s="11"/>
      <c r="G140" s="11"/>
      <c r="H140" s="11"/>
      <c r="J140" s="11"/>
      <c r="K140"/>
    </row>
    <row r="141" spans="1:11" ht="13.15" customHeight="1" x14ac:dyDescent="0.35">
      <c r="A141" s="172"/>
      <c r="D141" s="11"/>
      <c r="E141" s="11"/>
      <c r="F141" s="11"/>
      <c r="G141" s="11"/>
      <c r="H141" s="11"/>
      <c r="J141" s="11"/>
      <c r="K141"/>
    </row>
    <row r="142" spans="1:11" ht="13.15" customHeight="1" x14ac:dyDescent="0.35">
      <c r="A142" s="172"/>
      <c r="D142" s="11"/>
      <c r="E142" s="11"/>
      <c r="F142" s="11"/>
      <c r="G142" s="11"/>
      <c r="H142" s="11"/>
      <c r="J142" s="11"/>
      <c r="K142"/>
    </row>
    <row r="143" spans="1:11" ht="13.15" customHeight="1" x14ac:dyDescent="0.35">
      <c r="A143" s="172"/>
      <c r="B143" s="48"/>
      <c r="D143" s="11"/>
      <c r="E143" s="11"/>
      <c r="F143" s="11"/>
      <c r="G143" s="11"/>
      <c r="H143" s="11"/>
      <c r="J143" s="11"/>
      <c r="K143"/>
    </row>
    <row r="144" spans="1:11" ht="13.15" customHeight="1" x14ac:dyDescent="0.35">
      <c r="A144" s="172"/>
      <c r="B144" s="58"/>
      <c r="D144" s="11"/>
      <c r="E144" s="11"/>
      <c r="F144" s="11"/>
      <c r="G144" s="11"/>
      <c r="H144" s="11"/>
      <c r="J144" s="11"/>
      <c r="K144"/>
    </row>
    <row r="145" spans="1:11" ht="13.15" customHeight="1" x14ac:dyDescent="0.35">
      <c r="A145" s="172"/>
      <c r="D145" s="11"/>
      <c r="E145" s="11"/>
      <c r="F145" s="11"/>
      <c r="G145" s="11"/>
      <c r="H145" s="11"/>
      <c r="J145" s="11"/>
      <c r="K145"/>
    </row>
    <row r="146" spans="1:11" ht="13.15" customHeight="1" x14ac:dyDescent="0.35">
      <c r="K146"/>
    </row>
    <row r="147" spans="1:11" ht="13.15" customHeight="1" x14ac:dyDescent="0.35">
      <c r="C147" s="11"/>
      <c r="D147" s="11"/>
      <c r="E147" s="11"/>
      <c r="F147" s="11"/>
      <c r="G147" s="11"/>
      <c r="H147" s="11"/>
      <c r="J147" s="11"/>
      <c r="K147"/>
    </row>
    <row r="148" spans="1:11" ht="13.15" customHeight="1" x14ac:dyDescent="0.35">
      <c r="B148" s="171"/>
      <c r="K148"/>
    </row>
    <row r="149" spans="1:11" ht="13.15" customHeight="1" x14ac:dyDescent="0.35">
      <c r="D149" s="11"/>
      <c r="E149" s="11"/>
      <c r="K149"/>
    </row>
    <row r="150" spans="1:11" ht="13.15" customHeight="1" x14ac:dyDescent="0.35">
      <c r="K150"/>
    </row>
    <row r="151" spans="1:11" ht="13.15" customHeight="1" x14ac:dyDescent="0.35">
      <c r="K151"/>
    </row>
    <row r="152" spans="1:11" ht="13.15" customHeight="1" x14ac:dyDescent="0.35">
      <c r="K152"/>
    </row>
    <row r="153" spans="1:11" ht="13.15" customHeight="1" x14ac:dyDescent="0.35">
      <c r="K153"/>
    </row>
    <row r="154" spans="1:11" ht="13.15" customHeight="1" x14ac:dyDescent="0.35">
      <c r="K154"/>
    </row>
    <row r="155" spans="1:11" ht="13.15" customHeight="1" x14ac:dyDescent="0.35">
      <c r="K155"/>
    </row>
    <row r="156" spans="1:11" ht="13.15" customHeight="1" x14ac:dyDescent="0.35">
      <c r="K156"/>
    </row>
    <row r="157" spans="1:11" ht="13.15" customHeight="1" x14ac:dyDescent="0.35">
      <c r="K157"/>
    </row>
    <row r="158" spans="1:11" ht="13.15" customHeight="1" x14ac:dyDescent="0.35">
      <c r="K158"/>
    </row>
    <row r="159" spans="1:11" ht="13.15" customHeight="1" x14ac:dyDescent="0.35">
      <c r="K159"/>
    </row>
    <row r="160" spans="1:11" ht="13.15" customHeight="1" x14ac:dyDescent="0.35">
      <c r="K160"/>
    </row>
    <row r="161" spans="11:11" ht="13.15" customHeight="1" x14ac:dyDescent="0.35">
      <c r="K161"/>
    </row>
    <row r="162" spans="11:11" ht="13.15" customHeight="1" x14ac:dyDescent="0.35">
      <c r="K162"/>
    </row>
    <row r="163" spans="11:11" ht="13.15" customHeight="1" x14ac:dyDescent="0.35">
      <c r="K163"/>
    </row>
    <row r="164" spans="11:11" ht="13.15" customHeight="1" x14ac:dyDescent="0.35">
      <c r="K164"/>
    </row>
    <row r="165" spans="11:11" ht="13.15" customHeight="1" x14ac:dyDescent="0.35">
      <c r="K165"/>
    </row>
    <row r="166" spans="11:11" ht="13.15" customHeight="1" x14ac:dyDescent="0.35">
      <c r="K166"/>
    </row>
    <row r="167" spans="11:11" ht="13.15" customHeight="1" x14ac:dyDescent="0.35">
      <c r="K167"/>
    </row>
    <row r="168" spans="11:11" ht="13.15" customHeight="1" x14ac:dyDescent="0.35">
      <c r="K168"/>
    </row>
    <row r="169" spans="11:11" ht="13.15" customHeight="1" x14ac:dyDescent="0.35">
      <c r="K169"/>
    </row>
    <row r="170" spans="11:11" ht="13.15" customHeight="1" x14ac:dyDescent="0.35">
      <c r="K170"/>
    </row>
    <row r="171" spans="11:11" ht="13.15" customHeight="1" x14ac:dyDescent="0.35">
      <c r="K171"/>
    </row>
    <row r="172" spans="11:11" ht="13.15" customHeight="1" x14ac:dyDescent="0.35">
      <c r="K172"/>
    </row>
    <row r="173" spans="11:11" ht="13.15" customHeight="1" x14ac:dyDescent="0.35">
      <c r="K173"/>
    </row>
    <row r="174" spans="11:11" ht="13.15" customHeight="1" x14ac:dyDescent="0.35">
      <c r="K174"/>
    </row>
    <row r="175" spans="11:11" ht="13.15" customHeight="1" x14ac:dyDescent="0.35">
      <c r="K175"/>
    </row>
    <row r="176" spans="11:11" ht="13.15" customHeight="1" x14ac:dyDescent="0.35">
      <c r="K176"/>
    </row>
    <row r="177" spans="11:11" ht="13.15" customHeight="1" x14ac:dyDescent="0.35">
      <c r="K177"/>
    </row>
    <row r="178" spans="11:11" ht="13.15" customHeight="1" x14ac:dyDescent="0.35">
      <c r="K178"/>
    </row>
    <row r="179" spans="11:11" ht="13.15" customHeight="1" x14ac:dyDescent="0.35">
      <c r="K179"/>
    </row>
    <row r="180" spans="11:11" ht="13.15" customHeight="1" x14ac:dyDescent="0.35">
      <c r="K180"/>
    </row>
    <row r="181" spans="11:11" ht="13.15" customHeight="1" x14ac:dyDescent="0.35">
      <c r="K181"/>
    </row>
    <row r="182" spans="11:11" ht="13.15" customHeight="1" x14ac:dyDescent="0.35">
      <c r="K182"/>
    </row>
    <row r="183" spans="11:11" ht="13.15" customHeight="1" x14ac:dyDescent="0.35">
      <c r="K183"/>
    </row>
    <row r="184" spans="11:11" ht="13.15" customHeight="1" x14ac:dyDescent="0.35">
      <c r="K184"/>
    </row>
    <row r="185" spans="11:11" ht="13.15" customHeight="1" x14ac:dyDescent="0.35">
      <c r="K185"/>
    </row>
    <row r="186" spans="11:11" ht="13.15" customHeight="1" x14ac:dyDescent="0.35">
      <c r="K186"/>
    </row>
    <row r="187" spans="11:11" ht="13.15" customHeight="1" x14ac:dyDescent="0.35">
      <c r="K187"/>
    </row>
    <row r="188" spans="11:11" ht="13.15" customHeight="1" x14ac:dyDescent="0.35">
      <c r="K188"/>
    </row>
    <row r="189" spans="11:11" ht="13.15" customHeight="1" x14ac:dyDescent="0.35">
      <c r="K189"/>
    </row>
    <row r="190" spans="11:11" ht="13.15" customHeight="1" x14ac:dyDescent="0.35">
      <c r="K190"/>
    </row>
    <row r="191" spans="11:11" ht="13.15" customHeight="1" x14ac:dyDescent="0.35">
      <c r="K191"/>
    </row>
    <row r="192" spans="11:11" ht="13.15" customHeight="1" x14ac:dyDescent="0.35">
      <c r="K192"/>
    </row>
    <row r="193" spans="11:11" ht="13.15" customHeight="1" x14ac:dyDescent="0.35">
      <c r="K193"/>
    </row>
    <row r="194" spans="11:11" ht="13.15" customHeight="1" x14ac:dyDescent="0.35">
      <c r="K194"/>
    </row>
    <row r="195" spans="11:11" ht="13.15" customHeight="1" x14ac:dyDescent="0.35">
      <c r="K195"/>
    </row>
    <row r="196" spans="11:11" ht="13.15" customHeight="1" x14ac:dyDescent="0.35">
      <c r="K196"/>
    </row>
    <row r="197" spans="11:11" ht="13.15" customHeight="1" x14ac:dyDescent="0.35">
      <c r="K197"/>
    </row>
    <row r="198" spans="11:11" ht="13.15" customHeight="1" x14ac:dyDescent="0.35">
      <c r="K198"/>
    </row>
    <row r="199" spans="11:11" ht="13.15" customHeight="1" x14ac:dyDescent="0.35">
      <c r="K199"/>
    </row>
    <row r="200" spans="11:11" ht="13.15" customHeight="1" x14ac:dyDescent="0.35">
      <c r="K200"/>
    </row>
    <row r="201" spans="11:11" ht="13.15" customHeight="1" x14ac:dyDescent="0.35">
      <c r="K201"/>
    </row>
    <row r="202" spans="11:11" ht="13.15" customHeight="1" x14ac:dyDescent="0.35">
      <c r="K202"/>
    </row>
    <row r="203" spans="11:11" ht="13.15" customHeight="1" x14ac:dyDescent="0.35">
      <c r="K203"/>
    </row>
    <row r="204" spans="11:11" ht="13.15" customHeight="1" x14ac:dyDescent="0.35">
      <c r="K204"/>
    </row>
    <row r="205" spans="11:11" ht="13.15" customHeight="1" x14ac:dyDescent="0.35">
      <c r="K205"/>
    </row>
    <row r="206" spans="11:11" ht="13.15" customHeight="1" x14ac:dyDescent="0.35">
      <c r="K206"/>
    </row>
    <row r="207" spans="11:11" ht="13.15" customHeight="1" x14ac:dyDescent="0.35">
      <c r="K207"/>
    </row>
    <row r="208" spans="11:11" ht="13.15" customHeight="1" x14ac:dyDescent="0.35">
      <c r="K208"/>
    </row>
    <row r="209" spans="11:11" ht="13.15" customHeight="1" x14ac:dyDescent="0.35">
      <c r="K209"/>
    </row>
    <row r="210" spans="11:11" ht="13.15" customHeight="1" x14ac:dyDescent="0.35">
      <c r="K210"/>
    </row>
    <row r="211" spans="11:11" ht="13.15" customHeight="1" x14ac:dyDescent="0.35">
      <c r="K211"/>
    </row>
    <row r="212" spans="11:11" ht="13.15" customHeight="1" x14ac:dyDescent="0.35">
      <c r="K212"/>
    </row>
    <row r="213" spans="11:11" ht="13.15" customHeight="1" x14ac:dyDescent="0.35">
      <c r="K213"/>
    </row>
    <row r="214" spans="11:11" ht="13.15" customHeight="1" x14ac:dyDescent="0.35">
      <c r="K214"/>
    </row>
    <row r="215" spans="11:11" ht="13.15" customHeight="1" x14ac:dyDescent="0.35">
      <c r="K215"/>
    </row>
    <row r="216" spans="11:11" ht="13.15" customHeight="1" x14ac:dyDescent="0.35">
      <c r="K216"/>
    </row>
    <row r="217" spans="11:11" ht="13.15" customHeight="1" x14ac:dyDescent="0.35">
      <c r="K217"/>
    </row>
    <row r="218" spans="11:11" ht="13.15" customHeight="1" x14ac:dyDescent="0.35">
      <c r="K218"/>
    </row>
    <row r="219" spans="11:11" ht="13.15" customHeight="1" x14ac:dyDescent="0.35">
      <c r="K219"/>
    </row>
    <row r="220" spans="11:11" ht="13.15" customHeight="1" x14ac:dyDescent="0.35">
      <c r="K220"/>
    </row>
    <row r="221" spans="11:11" ht="13.15" customHeight="1" x14ac:dyDescent="0.35">
      <c r="K221"/>
    </row>
    <row r="222" spans="11:11" ht="13.15" customHeight="1" x14ac:dyDescent="0.35">
      <c r="K222"/>
    </row>
    <row r="223" spans="11:11" ht="13.15" customHeight="1" x14ac:dyDescent="0.35">
      <c r="K223"/>
    </row>
    <row r="224" spans="11:11" ht="13.15" customHeight="1" x14ac:dyDescent="0.35">
      <c r="K224"/>
    </row>
    <row r="225" spans="11:11" ht="13.15" customHeight="1" x14ac:dyDescent="0.35">
      <c r="K225"/>
    </row>
    <row r="226" spans="11:11" ht="13.15" customHeight="1" x14ac:dyDescent="0.35">
      <c r="K226"/>
    </row>
    <row r="227" spans="11:11" ht="13.15" customHeight="1" x14ac:dyDescent="0.35">
      <c r="K227"/>
    </row>
  </sheetData>
  <mergeCells count="4">
    <mergeCell ref="B3:B4"/>
    <mergeCell ref="A1:I1"/>
    <mergeCell ref="A3:A4"/>
    <mergeCell ref="K3:K4"/>
  </mergeCells>
  <phoneticPr fontId="20" type="noConversion"/>
  <printOptions horizontalCentered="1"/>
  <pageMargins left="0.70866141732283472" right="0.70866141732283472" top="0.74803149606299213" bottom="0.74803149606299213" header="0.31496062992125984" footer="0.31496062992125984"/>
  <pageSetup paperSize="9" scale="61" fitToHeight="2" orientation="landscape" r:id="rId1"/>
  <headerFooter>
    <oddHeader>&amp;L&amp;F&amp;R&amp;A</oddHeader>
    <oddFooter>&amp;L&amp;D&amp;C&amp;P/&amp;N&amp;R&amp;T</oddFooter>
  </headerFooter>
  <rowBreaks count="1" manualBreakCount="1">
    <brk id="48" max="16383" man="1"/>
  </rowBreaks>
  <ignoredErrors>
    <ignoredError sqref="D86:E86 G86"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8"/>
  </sheetPr>
  <dimension ref="A1:X80"/>
  <sheetViews>
    <sheetView showGridLines="0" view="pageBreakPreview" zoomScale="85" zoomScaleNormal="100" zoomScaleSheetLayoutView="85" workbookViewId="0">
      <selection sqref="A1:I1"/>
    </sheetView>
  </sheetViews>
  <sheetFormatPr baseColWidth="10" defaultColWidth="11.26953125" defaultRowHeight="13" x14ac:dyDescent="0.3"/>
  <cols>
    <col min="1" max="1" width="39.54296875" style="2" bestFit="1" customWidth="1"/>
    <col min="2" max="9" width="13.1796875" style="2" customWidth="1"/>
    <col min="10" max="10" width="6.7265625" style="2" customWidth="1"/>
    <col min="11" max="11" width="20.26953125" style="2" bestFit="1" customWidth="1"/>
    <col min="12" max="12" width="11.7265625" style="2" bestFit="1" customWidth="1"/>
    <col min="13" max="13" width="11.54296875" style="2" bestFit="1" customWidth="1"/>
    <col min="14" max="14" width="12" style="2" bestFit="1" customWidth="1"/>
    <col min="15" max="16384" width="11.26953125" style="2"/>
  </cols>
  <sheetData>
    <row r="1" spans="1:14" ht="29.5" customHeight="1" x14ac:dyDescent="0.35">
      <c r="A1" s="658" t="s">
        <v>370</v>
      </c>
      <c r="B1" s="664"/>
      <c r="C1" s="664"/>
      <c r="D1" s="664"/>
      <c r="E1" s="664"/>
      <c r="F1" s="664"/>
      <c r="G1" s="664"/>
      <c r="H1" s="664"/>
      <c r="I1" s="665"/>
      <c r="J1"/>
      <c r="K1"/>
      <c r="L1"/>
      <c r="M1"/>
      <c r="N1"/>
    </row>
    <row r="2" spans="1:14" ht="14.5" x14ac:dyDescent="0.35">
      <c r="J2"/>
      <c r="K2"/>
      <c r="L2"/>
      <c r="M2"/>
      <c r="N2"/>
    </row>
    <row r="3" spans="1:14" ht="14.5" x14ac:dyDescent="0.35">
      <c r="A3" s="42" t="s">
        <v>69</v>
      </c>
      <c r="B3" s="43"/>
      <c r="C3" s="44"/>
      <c r="D3" s="44"/>
      <c r="E3" s="44"/>
      <c r="F3" s="44"/>
      <c r="G3" s="44"/>
      <c r="H3" s="44"/>
      <c r="I3" s="44"/>
      <c r="J3"/>
      <c r="K3"/>
    </row>
    <row r="4" spans="1:14" customFormat="1" ht="14.5" x14ac:dyDescent="0.35"/>
    <row r="5" spans="1:14" ht="26" x14ac:dyDescent="0.3">
      <c r="A5" s="63" t="s">
        <v>97</v>
      </c>
      <c r="B5" s="66" t="s">
        <v>16</v>
      </c>
      <c r="C5" s="365" t="s">
        <v>17</v>
      </c>
      <c r="D5" s="67" t="s">
        <v>18</v>
      </c>
    </row>
    <row r="6" spans="1:14" s="5" customFormat="1" x14ac:dyDescent="0.3">
      <c r="A6" s="115" t="s">
        <v>56</v>
      </c>
      <c r="B6" s="378">
        <f>IFERROR(AVERAGE(B7:B12),"-")</f>
        <v>25.791857403489161</v>
      </c>
      <c r="C6" s="379">
        <f>IFERROR(AVERAGE(C7:C12),"-")</f>
        <v>0.45912249136004052</v>
      </c>
      <c r="D6" s="380">
        <f>IFERROR(B6*(1+C6),"-")</f>
        <v>37.633479231382012</v>
      </c>
    </row>
    <row r="7" spans="1:14" x14ac:dyDescent="0.3">
      <c r="A7" s="30" t="s">
        <v>272</v>
      </c>
      <c r="B7" s="381">
        <v>32.292009702030256</v>
      </c>
      <c r="C7" s="382">
        <v>0.48237146607623493</v>
      </c>
      <c r="D7" s="385">
        <f t="shared" ref="D7:D26" si="0">IFERROR(B7*(1+C7),"-")</f>
        <v>47.868753764546597</v>
      </c>
      <c r="F7" s="11"/>
      <c r="G7" s="11"/>
      <c r="H7" s="11"/>
      <c r="J7" s="11"/>
    </row>
    <row r="8" spans="1:14" x14ac:dyDescent="0.3">
      <c r="A8" s="30" t="s">
        <v>270</v>
      </c>
      <c r="B8" s="381">
        <v>24.886290926279308</v>
      </c>
      <c r="C8" s="382">
        <v>0.43984208966087401</v>
      </c>
      <c r="D8" s="385">
        <f t="shared" si="0"/>
        <v>35.832329131202442</v>
      </c>
      <c r="F8" s="11"/>
      <c r="G8" s="11"/>
      <c r="H8" s="11"/>
      <c r="J8" s="11"/>
    </row>
    <row r="9" spans="1:14" x14ac:dyDescent="0.3">
      <c r="A9" s="30" t="s">
        <v>271</v>
      </c>
      <c r="B9" s="381">
        <v>22.804856453839975</v>
      </c>
      <c r="C9" s="382">
        <v>0.47027039486411698</v>
      </c>
      <c r="D9" s="385">
        <f t="shared" si="0"/>
        <v>33.529305303206804</v>
      </c>
      <c r="F9" s="11"/>
      <c r="G9" s="11"/>
      <c r="H9" s="11"/>
      <c r="J9" s="11"/>
    </row>
    <row r="10" spans="1:14" x14ac:dyDescent="0.3">
      <c r="A10" s="30" t="s">
        <v>268</v>
      </c>
      <c r="B10" s="381">
        <v>29.263046353766519</v>
      </c>
      <c r="C10" s="382">
        <v>0.4795528725687892</v>
      </c>
      <c r="D10" s="385">
        <f t="shared" si="0"/>
        <v>43.296224292828889</v>
      </c>
      <c r="F10" s="11"/>
      <c r="G10" s="11"/>
      <c r="H10" s="11"/>
      <c r="J10" s="11"/>
    </row>
    <row r="11" spans="1:14" x14ac:dyDescent="0.3">
      <c r="A11" s="30" t="s">
        <v>269</v>
      </c>
      <c r="B11" s="381">
        <v>22.906725876453248</v>
      </c>
      <c r="C11" s="382">
        <v>0.45540480925221399</v>
      </c>
      <c r="D11" s="385">
        <f t="shared" si="0"/>
        <v>33.338559004812197</v>
      </c>
      <c r="F11" s="11"/>
      <c r="G11" s="11"/>
      <c r="H11" s="11"/>
      <c r="J11" s="11"/>
    </row>
    <row r="12" spans="1:14" x14ac:dyDescent="0.3">
      <c r="A12" s="30" t="s">
        <v>273</v>
      </c>
      <c r="B12" s="381">
        <v>22.598215108565668</v>
      </c>
      <c r="C12" s="382">
        <v>0.42729331573801427</v>
      </c>
      <c r="D12" s="385">
        <f t="shared" si="0"/>
        <v>32.254281372065584</v>
      </c>
      <c r="F12" s="11"/>
      <c r="G12" s="11"/>
      <c r="H12" s="11"/>
      <c r="J12" s="11"/>
    </row>
    <row r="13" spans="1:14" s="5" customFormat="1" x14ac:dyDescent="0.3">
      <c r="A13" s="115" t="s">
        <v>57</v>
      </c>
      <c r="B13" s="378">
        <f>IFERROR(AVERAGE(B14:B16),"-")</f>
        <v>30.27971011831497</v>
      </c>
      <c r="C13" s="379">
        <f>IFERROR(AVERAGE(C14:C16),"-")</f>
        <v>0.47244371904667887</v>
      </c>
      <c r="D13" s="380">
        <f t="shared" si="0"/>
        <v>44.585168978267042</v>
      </c>
    </row>
    <row r="14" spans="1:14" x14ac:dyDescent="0.3">
      <c r="A14" s="30" t="s">
        <v>266</v>
      </c>
      <c r="B14" s="381">
        <v>30.376377217622331</v>
      </c>
      <c r="C14" s="382">
        <v>0.47247212464114818</v>
      </c>
      <c r="D14" s="385">
        <f t="shared" si="0"/>
        <v>44.728368700533323</v>
      </c>
      <c r="F14" s="11"/>
      <c r="G14" s="11"/>
      <c r="H14" s="11"/>
      <c r="J14" s="11"/>
    </row>
    <row r="15" spans="1:14" x14ac:dyDescent="0.3">
      <c r="A15" s="30" t="s">
        <v>265</v>
      </c>
      <c r="B15" s="381">
        <v>29.846521397969646</v>
      </c>
      <c r="C15" s="382">
        <v>0.47680262745204222</v>
      </c>
      <c r="D15" s="385">
        <f t="shared" si="0"/>
        <v>44.077421220825173</v>
      </c>
      <c r="F15" s="11"/>
      <c r="G15" s="11"/>
      <c r="H15" s="11"/>
      <c r="J15" s="11"/>
    </row>
    <row r="16" spans="1:14" x14ac:dyDescent="0.3">
      <c r="A16" s="30" t="s">
        <v>267</v>
      </c>
      <c r="B16" s="381">
        <v>30.616231739352941</v>
      </c>
      <c r="C16" s="382">
        <v>0.46805640504684626</v>
      </c>
      <c r="D16" s="385">
        <f t="shared" si="0"/>
        <v>44.946355103355636</v>
      </c>
      <c r="F16" s="11"/>
      <c r="G16" s="11"/>
      <c r="H16" s="11"/>
      <c r="J16" s="11"/>
    </row>
    <row r="17" spans="1:15" s="5" customFormat="1" x14ac:dyDescent="0.3">
      <c r="A17" s="115" t="s">
        <v>58</v>
      </c>
      <c r="B17" s="378">
        <f t="shared" ref="B17:C17" si="1">IFERROR(AVERAGE(B18:B24),"-")</f>
        <v>22.882305994295038</v>
      </c>
      <c r="C17" s="379">
        <f t="shared" si="1"/>
        <v>0.25482201028368817</v>
      </c>
      <c r="D17" s="380">
        <f t="shared" si="0"/>
        <v>28.713221207687788</v>
      </c>
    </row>
    <row r="18" spans="1:15" x14ac:dyDescent="0.3">
      <c r="A18" s="30" t="s">
        <v>261</v>
      </c>
      <c r="B18" s="381">
        <v>25.538127326250606</v>
      </c>
      <c r="C18" s="382">
        <v>0.43709398244822301</v>
      </c>
      <c r="D18" s="385">
        <f t="shared" si="0"/>
        <v>36.700689103551269</v>
      </c>
      <c r="F18" s="11"/>
      <c r="G18" s="11"/>
      <c r="H18" s="11"/>
      <c r="J18" s="11"/>
    </row>
    <row r="19" spans="1:15" x14ac:dyDescent="0.3">
      <c r="A19" s="30" t="s">
        <v>262</v>
      </c>
      <c r="B19" s="381">
        <v>30.535887761597095</v>
      </c>
      <c r="C19" s="382">
        <v>0.47247212464114824</v>
      </c>
      <c r="D19" s="385">
        <f t="shared" si="0"/>
        <v>44.963243530122512</v>
      </c>
      <c r="F19" s="11"/>
      <c r="G19" s="11"/>
      <c r="H19" s="11"/>
      <c r="J19" s="11"/>
    </row>
    <row r="20" spans="1:15" x14ac:dyDescent="0.3">
      <c r="A20" s="30" t="s">
        <v>263</v>
      </c>
      <c r="B20" s="381">
        <v>18.910888044037264</v>
      </c>
      <c r="C20" s="382">
        <v>0.43709398244822301</v>
      </c>
      <c r="D20" s="385">
        <f t="shared" si="0"/>
        <v>27.176723410837997</v>
      </c>
      <c r="F20" s="11"/>
      <c r="G20" s="11"/>
      <c r="H20" s="11"/>
      <c r="J20" s="11"/>
    </row>
    <row r="21" spans="1:15" x14ac:dyDescent="0.3">
      <c r="A21" s="30" t="s">
        <v>264</v>
      </c>
      <c r="B21" s="381">
        <v>16.544320845295193</v>
      </c>
      <c r="C21" s="382">
        <v>0.43709398244822301</v>
      </c>
      <c r="D21" s="385">
        <f t="shared" si="0"/>
        <v>23.775743930466419</v>
      </c>
      <c r="F21" s="11"/>
      <c r="G21" s="11"/>
      <c r="H21" s="11"/>
      <c r="J21" s="11"/>
    </row>
    <row r="22" spans="1:15" x14ac:dyDescent="0.3">
      <c r="A22" s="30" t="s">
        <v>315</v>
      </c>
      <c r="B22" s="381"/>
      <c r="C22" s="382">
        <v>0</v>
      </c>
      <c r="D22" s="385">
        <f t="shared" si="0"/>
        <v>0</v>
      </c>
      <c r="F22" s="11"/>
      <c r="G22" s="11"/>
      <c r="H22" s="11"/>
      <c r="J22" s="11"/>
    </row>
    <row r="23" spans="1:15" x14ac:dyDescent="0.3">
      <c r="A23" s="30" t="s">
        <v>450</v>
      </c>
      <c r="B23" s="381"/>
      <c r="C23" s="382">
        <v>0</v>
      </c>
      <c r="D23" s="385">
        <f t="shared" ref="D23" si="2">IFERROR(B23*(1+C23),"-")</f>
        <v>0</v>
      </c>
      <c r="F23" s="11"/>
      <c r="G23" s="11"/>
      <c r="H23" s="11"/>
      <c r="J23" s="11"/>
    </row>
    <row r="24" spans="1:15" x14ac:dyDescent="0.3">
      <c r="A24" s="91" t="s">
        <v>368</v>
      </c>
      <c r="B24" s="381"/>
      <c r="C24" s="382">
        <v>0</v>
      </c>
      <c r="D24" s="385">
        <f t="shared" si="0"/>
        <v>0</v>
      </c>
      <c r="F24" s="11"/>
      <c r="G24" s="11"/>
      <c r="H24" s="11"/>
      <c r="J24" s="11"/>
    </row>
    <row r="25" spans="1:15" x14ac:dyDescent="0.3">
      <c r="A25" s="115" t="s">
        <v>124</v>
      </c>
      <c r="B25" s="383">
        <v>290.55875732307135</v>
      </c>
      <c r="C25" s="384">
        <v>0.51</v>
      </c>
      <c r="D25" s="386">
        <f t="shared" si="0"/>
        <v>438.74372355783771</v>
      </c>
      <c r="F25" s="11"/>
      <c r="G25" s="11"/>
      <c r="H25" s="11"/>
      <c r="J25" s="11"/>
    </row>
    <row r="26" spans="1:15" x14ac:dyDescent="0.3">
      <c r="A26" s="18" t="s">
        <v>22</v>
      </c>
      <c r="B26" s="375">
        <f>IFERROR(AVERAGE(B7:B12,B14:B16,B18:B25),"-")</f>
        <v>44.834161148295102</v>
      </c>
      <c r="C26" s="376">
        <f>IFERROR(AVERAGE(C7:C12,C14:C16,C18:C25),"-")</f>
        <v>0.3803423633697704</v>
      </c>
      <c r="D26" s="377">
        <f t="shared" si="0"/>
        <v>61.886491959138802</v>
      </c>
      <c r="J26" s="11"/>
      <c r="O26" s="11"/>
    </row>
    <row r="27" spans="1:15" x14ac:dyDescent="0.3">
      <c r="J27" s="11"/>
    </row>
    <row r="28" spans="1:15" ht="26" x14ac:dyDescent="0.35">
      <c r="A28" s="668" t="s">
        <v>73</v>
      </c>
      <c r="B28" s="655"/>
      <c r="C28" s="3" t="str">
        <f>Annee0</f>
        <v>Année 0</v>
      </c>
      <c r="D28" s="3" t="str">
        <f>Annee1</f>
        <v>Année 1</v>
      </c>
      <c r="E28" s="3" t="str">
        <f>Annee2</f>
        <v>Année 2</v>
      </c>
      <c r="F28" s="516" t="str">
        <f>Annee3</f>
        <v>Année 3</v>
      </c>
      <c r="G28" s="541" t="str">
        <f>Annee4</f>
        <v>Année 4</v>
      </c>
      <c r="H28" s="181" t="s">
        <v>256</v>
      </c>
      <c r="I28" s="4" t="s">
        <v>59</v>
      </c>
      <c r="J28" s="11"/>
      <c r="K28"/>
      <c r="L28" s="31"/>
    </row>
    <row r="29" spans="1:15" ht="14.5" x14ac:dyDescent="0.35">
      <c r="A29" s="667"/>
      <c r="B29" s="656"/>
      <c r="C29" s="77">
        <v>12</v>
      </c>
      <c r="D29" s="77">
        <v>12</v>
      </c>
      <c r="E29" s="77">
        <v>12</v>
      </c>
      <c r="F29" s="77">
        <v>12</v>
      </c>
      <c r="G29" s="77">
        <v>12</v>
      </c>
      <c r="H29" s="78">
        <f t="shared" ref="H29:H50" si="3">IFERROR(AVERAGE(C29:G29),0)</f>
        <v>12</v>
      </c>
      <c r="I29" s="78">
        <f t="shared" ref="I29:I50" si="4">SUM(C29:G29)</f>
        <v>60</v>
      </c>
      <c r="J29" s="11"/>
      <c r="K29"/>
    </row>
    <row r="30" spans="1:15" s="5" customFormat="1" ht="14.5" x14ac:dyDescent="0.35">
      <c r="A30" s="115" t="s">
        <v>56</v>
      </c>
      <c r="B30" s="53"/>
      <c r="C30" s="482"/>
      <c r="D30" s="366">
        <f t="shared" ref="D30:G30" si="5">SUM(D31:D36)</f>
        <v>91.718219178082194</v>
      </c>
      <c r="E30" s="366">
        <f t="shared" si="5"/>
        <v>91.712739726027394</v>
      </c>
      <c r="F30" s="366">
        <f t="shared" ref="F30" si="6">SUM(F31:F36)</f>
        <v>91.720928961748626</v>
      </c>
      <c r="G30" s="367">
        <f t="shared" si="5"/>
        <v>91.715479452054794</v>
      </c>
      <c r="H30" s="368">
        <f t="shared" si="3"/>
        <v>91.716841829478255</v>
      </c>
      <c r="I30" s="368">
        <f t="shared" si="4"/>
        <v>366.86736731791302</v>
      </c>
      <c r="J30" s="11"/>
      <c r="K30"/>
    </row>
    <row r="31" spans="1:15" ht="14.5" x14ac:dyDescent="0.35">
      <c r="A31" s="30" t="s">
        <v>272</v>
      </c>
      <c r="B31" s="71"/>
      <c r="C31" s="483"/>
      <c r="D31" s="387">
        <v>25.912739726027397</v>
      </c>
      <c r="E31" s="387">
        <v>25.91</v>
      </c>
      <c r="F31" s="560">
        <v>25.91</v>
      </c>
      <c r="G31" s="388">
        <v>25.91</v>
      </c>
      <c r="H31" s="215">
        <f t="shared" si="3"/>
        <v>25.910684931506847</v>
      </c>
      <c r="I31" s="215">
        <f t="shared" si="4"/>
        <v>103.64273972602739</v>
      </c>
      <c r="J31" s="11"/>
      <c r="K31"/>
    </row>
    <row r="32" spans="1:15" ht="14.5" x14ac:dyDescent="0.35">
      <c r="A32" s="30" t="s">
        <v>270</v>
      </c>
      <c r="B32" s="71"/>
      <c r="C32" s="483"/>
      <c r="D32" s="387">
        <v>25.002739726027396</v>
      </c>
      <c r="E32" s="387">
        <v>25.002739726027396</v>
      </c>
      <c r="F32" s="560">
        <v>25.005464480874316</v>
      </c>
      <c r="G32" s="388">
        <v>25.0027397260274</v>
      </c>
      <c r="H32" s="215">
        <f t="shared" si="3"/>
        <v>25.003420914739127</v>
      </c>
      <c r="I32" s="215">
        <f t="shared" si="4"/>
        <v>100.01368365895651</v>
      </c>
      <c r="J32" s="11"/>
      <c r="K32"/>
    </row>
    <row r="33" spans="1:11" ht="14.5" x14ac:dyDescent="0.35">
      <c r="A33" s="30" t="s">
        <v>271</v>
      </c>
      <c r="B33" s="71"/>
      <c r="C33" s="483"/>
      <c r="D33" s="387">
        <v>20.8</v>
      </c>
      <c r="E33" s="387">
        <v>20.8</v>
      </c>
      <c r="F33" s="560">
        <v>20.802732240437159</v>
      </c>
      <c r="G33" s="388">
        <v>20.8</v>
      </c>
      <c r="H33" s="215">
        <f t="shared" si="3"/>
        <v>20.800683060109289</v>
      </c>
      <c r="I33" s="215">
        <f t="shared" si="4"/>
        <v>83.202732240437157</v>
      </c>
      <c r="J33" s="11"/>
      <c r="K33"/>
    </row>
    <row r="34" spans="1:11" ht="14.5" x14ac:dyDescent="0.35">
      <c r="A34" s="30" t="s">
        <v>268</v>
      </c>
      <c r="B34" s="71"/>
      <c r="C34" s="483"/>
      <c r="D34" s="387">
        <v>7</v>
      </c>
      <c r="E34" s="387">
        <v>7</v>
      </c>
      <c r="F34" s="560">
        <v>7</v>
      </c>
      <c r="G34" s="388">
        <v>7</v>
      </c>
      <c r="H34" s="215">
        <f t="shared" si="3"/>
        <v>7</v>
      </c>
      <c r="I34" s="215">
        <f t="shared" si="4"/>
        <v>28</v>
      </c>
      <c r="J34" s="11"/>
      <c r="K34"/>
    </row>
    <row r="35" spans="1:11" ht="14.5" x14ac:dyDescent="0.35">
      <c r="A35" s="30" t="s">
        <v>269</v>
      </c>
      <c r="B35" s="71"/>
      <c r="C35" s="483"/>
      <c r="D35" s="387">
        <v>4</v>
      </c>
      <c r="E35" s="387">
        <v>4</v>
      </c>
      <c r="F35" s="560">
        <v>4</v>
      </c>
      <c r="G35" s="388">
        <v>4</v>
      </c>
      <c r="H35" s="215">
        <f t="shared" si="3"/>
        <v>4</v>
      </c>
      <c r="I35" s="215">
        <f t="shared" si="4"/>
        <v>16</v>
      </c>
      <c r="J35" s="11"/>
      <c r="K35"/>
    </row>
    <row r="36" spans="1:11" x14ac:dyDescent="0.3">
      <c r="A36" s="30" t="s">
        <v>273</v>
      </c>
      <c r="B36" s="71"/>
      <c r="C36" s="483"/>
      <c r="D36" s="387">
        <v>9.0027397260273965</v>
      </c>
      <c r="E36" s="387">
        <v>9</v>
      </c>
      <c r="F36" s="560">
        <v>9.0027322404371581</v>
      </c>
      <c r="G36" s="388">
        <v>9.0027397260273965</v>
      </c>
      <c r="H36" s="215">
        <f t="shared" si="3"/>
        <v>9.0020529231229887</v>
      </c>
      <c r="I36" s="215">
        <f t="shared" si="4"/>
        <v>36.008211692491955</v>
      </c>
      <c r="J36" s="11"/>
    </row>
    <row r="37" spans="1:11" s="5" customFormat="1" ht="14.5" x14ac:dyDescent="0.35">
      <c r="A37" s="50" t="s">
        <v>57</v>
      </c>
      <c r="B37" s="53"/>
      <c r="C37" s="482"/>
      <c r="D37" s="366">
        <f t="shared" ref="D37:G37" si="7">SUM(D38:D40)</f>
        <v>13.8</v>
      </c>
      <c r="E37" s="366">
        <f t="shared" si="7"/>
        <v>13.8</v>
      </c>
      <c r="F37" s="366">
        <f t="shared" ref="F37" si="8">SUM(F38:F40)</f>
        <v>13.8</v>
      </c>
      <c r="G37" s="367">
        <f t="shared" si="7"/>
        <v>14.104109589041096</v>
      </c>
      <c r="H37" s="368">
        <f t="shared" si="3"/>
        <v>13.876027397260275</v>
      </c>
      <c r="I37" s="368">
        <f t="shared" si="4"/>
        <v>55.5041095890411</v>
      </c>
      <c r="J37" s="11"/>
      <c r="K37"/>
    </row>
    <row r="38" spans="1:11" ht="14.5" x14ac:dyDescent="0.35">
      <c r="A38" s="30" t="s">
        <v>266</v>
      </c>
      <c r="B38" s="71"/>
      <c r="C38" s="483"/>
      <c r="D38" s="387">
        <v>0.8</v>
      </c>
      <c r="E38" s="387">
        <v>0.8</v>
      </c>
      <c r="F38" s="560">
        <v>0.8</v>
      </c>
      <c r="G38" s="388">
        <v>0.8</v>
      </c>
      <c r="H38" s="215">
        <f t="shared" si="3"/>
        <v>0.8</v>
      </c>
      <c r="I38" s="215">
        <f t="shared" si="4"/>
        <v>3.2</v>
      </c>
      <c r="J38" s="11"/>
      <c r="K38"/>
    </row>
    <row r="39" spans="1:11" ht="14.5" x14ac:dyDescent="0.35">
      <c r="A39" s="30" t="s">
        <v>265</v>
      </c>
      <c r="B39" s="71"/>
      <c r="C39" s="483"/>
      <c r="D39" s="387">
        <v>7</v>
      </c>
      <c r="E39" s="387">
        <v>7</v>
      </c>
      <c r="F39" s="560">
        <v>7</v>
      </c>
      <c r="G39" s="388">
        <v>7</v>
      </c>
      <c r="H39" s="215">
        <f t="shared" si="3"/>
        <v>7</v>
      </c>
      <c r="I39" s="215">
        <f t="shared" si="4"/>
        <v>28</v>
      </c>
      <c r="J39" s="11"/>
      <c r="K39"/>
    </row>
    <row r="40" spans="1:11" ht="14.5" x14ac:dyDescent="0.35">
      <c r="A40" s="30" t="s">
        <v>267</v>
      </c>
      <c r="B40" s="71"/>
      <c r="C40" s="483"/>
      <c r="D40" s="387">
        <v>6</v>
      </c>
      <c r="E40" s="387">
        <v>6</v>
      </c>
      <c r="F40" s="560">
        <v>6</v>
      </c>
      <c r="G40" s="388">
        <v>6.3041095890410963</v>
      </c>
      <c r="H40" s="215">
        <f t="shared" si="3"/>
        <v>6.0760273972602743</v>
      </c>
      <c r="I40" s="215">
        <f t="shared" si="4"/>
        <v>24.304109589041097</v>
      </c>
      <c r="J40" s="11"/>
      <c r="K40"/>
    </row>
    <row r="41" spans="1:11" ht="14.5" x14ac:dyDescent="0.35">
      <c r="A41" s="50" t="s">
        <v>58</v>
      </c>
      <c r="B41" s="53"/>
      <c r="C41" s="482"/>
      <c r="D41" s="366">
        <f t="shared" ref="D41:G41" si="9">SUM(D42:D48)</f>
        <v>46.702739726027396</v>
      </c>
      <c r="E41" s="366">
        <f t="shared" si="9"/>
        <v>46.7</v>
      </c>
      <c r="F41" s="366">
        <f t="shared" ref="F41" si="10">SUM(F42:F48)</f>
        <v>46.7</v>
      </c>
      <c r="G41" s="367">
        <f t="shared" si="9"/>
        <v>46.404109589041099</v>
      </c>
      <c r="H41" s="368">
        <f t="shared" si="3"/>
        <v>46.62671232876712</v>
      </c>
      <c r="I41" s="368">
        <f t="shared" si="4"/>
        <v>186.50684931506848</v>
      </c>
      <c r="J41" s="11"/>
      <c r="K41"/>
    </row>
    <row r="42" spans="1:11" ht="14.5" x14ac:dyDescent="0.35">
      <c r="A42" s="30" t="s">
        <v>261</v>
      </c>
      <c r="B42" s="71"/>
      <c r="C42" s="483"/>
      <c r="D42" s="387">
        <v>24.702739726027396</v>
      </c>
      <c r="E42" s="387">
        <v>24.7</v>
      </c>
      <c r="F42" s="560">
        <v>24.7</v>
      </c>
      <c r="G42" s="388">
        <v>24.705479452054796</v>
      </c>
      <c r="H42" s="215">
        <f t="shared" si="3"/>
        <v>24.702054794520549</v>
      </c>
      <c r="I42" s="215">
        <f t="shared" si="4"/>
        <v>98.808219178082197</v>
      </c>
      <c r="J42" s="11"/>
      <c r="K42"/>
    </row>
    <row r="43" spans="1:11" s="5" customFormat="1" ht="14.5" x14ac:dyDescent="0.35">
      <c r="A43" s="30" t="s">
        <v>262</v>
      </c>
      <c r="B43" s="72"/>
      <c r="C43" s="483"/>
      <c r="D43" s="387">
        <v>3</v>
      </c>
      <c r="E43" s="387">
        <v>3</v>
      </c>
      <c r="F43" s="560">
        <v>3</v>
      </c>
      <c r="G43" s="388">
        <v>3</v>
      </c>
      <c r="H43" s="215">
        <f t="shared" si="3"/>
        <v>3</v>
      </c>
      <c r="I43" s="215">
        <f t="shared" si="4"/>
        <v>12</v>
      </c>
      <c r="J43" s="11"/>
      <c r="K43"/>
    </row>
    <row r="44" spans="1:11" ht="14.5" x14ac:dyDescent="0.35">
      <c r="A44" s="30" t="s">
        <v>263</v>
      </c>
      <c r="B44" s="71"/>
      <c r="C44" s="483"/>
      <c r="D44" s="387">
        <v>7</v>
      </c>
      <c r="E44" s="387">
        <v>7</v>
      </c>
      <c r="F44" s="560">
        <v>7</v>
      </c>
      <c r="G44" s="388">
        <v>7</v>
      </c>
      <c r="H44" s="215">
        <f t="shared" si="3"/>
        <v>7</v>
      </c>
      <c r="I44" s="215">
        <f t="shared" si="4"/>
        <v>28</v>
      </c>
      <c r="J44" s="11"/>
      <c r="K44"/>
    </row>
    <row r="45" spans="1:11" ht="14.5" x14ac:dyDescent="0.35">
      <c r="A45" s="30" t="s">
        <v>264</v>
      </c>
      <c r="B45" s="71"/>
      <c r="C45" s="483"/>
      <c r="D45" s="387">
        <v>12</v>
      </c>
      <c r="E45" s="387">
        <v>12</v>
      </c>
      <c r="F45" s="560">
        <v>12</v>
      </c>
      <c r="G45" s="388">
        <v>11.698630136986301</v>
      </c>
      <c r="H45" s="215">
        <f t="shared" si="3"/>
        <v>11.924657534246576</v>
      </c>
      <c r="I45" s="215">
        <f t="shared" si="4"/>
        <v>47.698630136986303</v>
      </c>
      <c r="J45" s="11"/>
      <c r="K45"/>
    </row>
    <row r="46" spans="1:11" s="172" customFormat="1" ht="14.5" x14ac:dyDescent="0.35">
      <c r="A46" s="369" t="s">
        <v>315</v>
      </c>
      <c r="B46" s="370"/>
      <c r="C46" s="484"/>
      <c r="D46" s="389">
        <v>0</v>
      </c>
      <c r="E46" s="389">
        <v>0</v>
      </c>
      <c r="F46" s="561">
        <v>0</v>
      </c>
      <c r="G46" s="390">
        <v>0</v>
      </c>
      <c r="H46" s="373">
        <f t="shared" si="3"/>
        <v>0</v>
      </c>
      <c r="I46" s="373">
        <f t="shared" si="4"/>
        <v>0</v>
      </c>
      <c r="J46" s="235"/>
      <c r="K46" s="374"/>
    </row>
    <row r="47" spans="1:11" s="172" customFormat="1" ht="14.5" x14ac:dyDescent="0.35">
      <c r="A47" s="30" t="s">
        <v>450</v>
      </c>
      <c r="B47" s="370"/>
      <c r="C47" s="484"/>
      <c r="D47" s="389">
        <v>0</v>
      </c>
      <c r="E47" s="389">
        <v>0</v>
      </c>
      <c r="F47" s="561">
        <v>0</v>
      </c>
      <c r="G47" s="390">
        <v>0</v>
      </c>
      <c r="H47" s="373">
        <f t="shared" si="3"/>
        <v>0</v>
      </c>
      <c r="I47" s="373">
        <f t="shared" si="4"/>
        <v>0</v>
      </c>
      <c r="J47" s="235"/>
      <c r="K47" s="374"/>
    </row>
    <row r="48" spans="1:11" s="172" customFormat="1" ht="14.5" x14ac:dyDescent="0.35">
      <c r="A48" s="369" t="s">
        <v>368</v>
      </c>
      <c r="B48" s="370"/>
      <c r="C48" s="484"/>
      <c r="D48" s="389">
        <v>0</v>
      </c>
      <c r="E48" s="389">
        <v>0</v>
      </c>
      <c r="F48" s="561">
        <v>0</v>
      </c>
      <c r="G48" s="390">
        <v>0</v>
      </c>
      <c r="H48" s="373">
        <f t="shared" si="3"/>
        <v>0</v>
      </c>
      <c r="I48" s="373">
        <f t="shared" si="4"/>
        <v>0</v>
      </c>
      <c r="J48" s="235"/>
      <c r="K48" s="374"/>
    </row>
    <row r="49" spans="1:24" ht="14.5" x14ac:dyDescent="0.35">
      <c r="A49" s="50" t="s">
        <v>124</v>
      </c>
      <c r="B49" s="53"/>
      <c r="C49" s="485"/>
      <c r="D49" s="391">
        <v>1</v>
      </c>
      <c r="E49" s="391">
        <v>1</v>
      </c>
      <c r="F49" s="391">
        <v>1</v>
      </c>
      <c r="G49" s="392">
        <v>1</v>
      </c>
      <c r="H49" s="368">
        <f t="shared" si="3"/>
        <v>1</v>
      </c>
      <c r="I49" s="368">
        <f t="shared" si="4"/>
        <v>4</v>
      </c>
      <c r="J49" s="11"/>
      <c r="K49"/>
    </row>
    <row r="50" spans="1:24" ht="14.5" x14ac:dyDescent="0.35">
      <c r="A50" s="18" t="s">
        <v>7</v>
      </c>
      <c r="B50" s="20"/>
      <c r="C50" s="486"/>
      <c r="D50" s="334">
        <f t="shared" ref="D50:G50" si="11">D30+D37+D41+D49</f>
        <v>153.22095890410958</v>
      </c>
      <c r="E50" s="334">
        <f t="shared" si="11"/>
        <v>153.21273972602739</v>
      </c>
      <c r="F50" s="334">
        <f t="shared" ref="F50" si="12">F30+F37+F41+F49</f>
        <v>153.22092896174863</v>
      </c>
      <c r="G50" s="162">
        <f t="shared" si="11"/>
        <v>153.22369863013699</v>
      </c>
      <c r="H50" s="160">
        <f t="shared" si="3"/>
        <v>153.21958155550567</v>
      </c>
      <c r="I50" s="160">
        <f t="shared" si="4"/>
        <v>612.87832622202268</v>
      </c>
      <c r="J50" s="11"/>
      <c r="K50"/>
    </row>
    <row r="51" spans="1:24" x14ac:dyDescent="0.3">
      <c r="F51" s="559"/>
      <c r="G51" s="559"/>
      <c r="J51" s="11"/>
    </row>
    <row r="52" spans="1:24" x14ac:dyDescent="0.3">
      <c r="A52" s="42" t="s">
        <v>96</v>
      </c>
      <c r="B52" s="42"/>
      <c r="C52" s="44"/>
      <c r="D52" s="44"/>
      <c r="E52" s="44"/>
      <c r="F52" s="558"/>
      <c r="G52" s="558"/>
      <c r="H52" s="44"/>
      <c r="I52" s="44"/>
      <c r="J52" s="11"/>
    </row>
    <row r="53" spans="1:24" x14ac:dyDescent="0.3">
      <c r="C53" s="11"/>
      <c r="D53" s="11"/>
      <c r="E53" s="11"/>
      <c r="F53" s="562"/>
      <c r="G53" s="562"/>
      <c r="J53" s="11"/>
    </row>
    <row r="54" spans="1:24" ht="26" x14ac:dyDescent="0.3">
      <c r="A54" s="668" t="s">
        <v>177</v>
      </c>
      <c r="B54" s="655" t="s">
        <v>369</v>
      </c>
      <c r="C54" s="3" t="str">
        <f>Annee0</f>
        <v>Année 0</v>
      </c>
      <c r="D54" s="3" t="str">
        <f>Annee1</f>
        <v>Année 1</v>
      </c>
      <c r="E54" s="3" t="str">
        <f>Annee2</f>
        <v>Année 2</v>
      </c>
      <c r="F54" s="516" t="str">
        <f>Annee3</f>
        <v>Année 3</v>
      </c>
      <c r="G54" s="541" t="str">
        <f>Annee4</f>
        <v>Année 4</v>
      </c>
      <c r="H54" s="181" t="s">
        <v>256</v>
      </c>
      <c r="I54" s="4" t="s">
        <v>59</v>
      </c>
      <c r="J54" s="11"/>
      <c r="K54" s="661" t="s">
        <v>290</v>
      </c>
    </row>
    <row r="55" spans="1:24" x14ac:dyDescent="0.3">
      <c r="A55" s="667"/>
      <c r="B55" s="656"/>
      <c r="C55" s="77">
        <v>12</v>
      </c>
      <c r="D55" s="77">
        <v>12</v>
      </c>
      <c r="E55" s="77">
        <v>12</v>
      </c>
      <c r="F55" s="77">
        <v>12</v>
      </c>
      <c r="G55" s="77">
        <v>12</v>
      </c>
      <c r="H55" s="78">
        <f t="shared" ref="H55:H80" si="13">IFERROR(AVERAGE(C55:G55),0)</f>
        <v>12</v>
      </c>
      <c r="I55" s="78">
        <f t="shared" ref="I55:I80" si="14">SUM(C55:G55)</f>
        <v>60</v>
      </c>
      <c r="J55" s="11"/>
      <c r="K55" s="674"/>
    </row>
    <row r="56" spans="1:24" x14ac:dyDescent="0.3">
      <c r="A56" s="50" t="s">
        <v>56</v>
      </c>
      <c r="B56" s="395">
        <f t="shared" ref="B56:B73" si="15">IFERROR(I56/I30,"-")</f>
        <v>59377.581492094781</v>
      </c>
      <c r="C56" s="480"/>
      <c r="D56" s="295">
        <f t="shared" ref="D56" si="16">SUM(D57:D62)</f>
        <v>5453032.9630377945</v>
      </c>
      <c r="E56" s="295">
        <f t="shared" ref="E56" si="17">SUM(E57:E62)</f>
        <v>5415149.0932518309</v>
      </c>
      <c r="F56" s="295">
        <f t="shared" ref="F56:G56" si="18">SUM(F57:F62)</f>
        <v>5464066.0519635035</v>
      </c>
      <c r="G56" s="294">
        <f t="shared" si="18"/>
        <v>5451448.891456522</v>
      </c>
      <c r="H56" s="54">
        <f t="shared" si="13"/>
        <v>5445924.2499274127</v>
      </c>
      <c r="I56" s="54">
        <f t="shared" si="14"/>
        <v>21783696.999709651</v>
      </c>
      <c r="J56" s="11"/>
      <c r="K56" s="189"/>
    </row>
    <row r="57" spans="1:24" x14ac:dyDescent="0.3">
      <c r="A57" s="30" t="s">
        <v>272</v>
      </c>
      <c r="B57" s="396">
        <f t="shared" si="15"/>
        <v>73826.108486465542</v>
      </c>
      <c r="C57" s="472"/>
      <c r="D57" s="519">
        <v>1922599.4666811028</v>
      </c>
      <c r="E57" s="519">
        <v>1898049.198491649</v>
      </c>
      <c r="F57" s="519">
        <v>1910976.8457665259</v>
      </c>
      <c r="G57" s="631">
        <v>1919914.6359089315</v>
      </c>
      <c r="H57" s="39">
        <f t="shared" si="13"/>
        <v>1912885.0367120523</v>
      </c>
      <c r="I57" s="14">
        <f t="shared" si="14"/>
        <v>7651540.1468482092</v>
      </c>
      <c r="J57" s="11"/>
      <c r="K57" s="189"/>
      <c r="X57" s="11"/>
    </row>
    <row r="58" spans="1:24" x14ac:dyDescent="0.3">
      <c r="A58" s="30" t="s">
        <v>270</v>
      </c>
      <c r="B58" s="396">
        <f t="shared" si="15"/>
        <v>55018.714429035885</v>
      </c>
      <c r="C58" s="472"/>
      <c r="D58" s="550">
        <v>1381960.6556167307</v>
      </c>
      <c r="E58" s="550">
        <v>1369049.5920665336</v>
      </c>
      <c r="F58" s="550">
        <v>1380522.7984671325</v>
      </c>
      <c r="G58" s="362">
        <v>1371091.2540776643</v>
      </c>
      <c r="H58" s="14">
        <f t="shared" si="13"/>
        <v>1375656.0750570153</v>
      </c>
      <c r="I58" s="14">
        <f t="shared" si="14"/>
        <v>5502624.3002280612</v>
      </c>
      <c r="J58" s="11"/>
      <c r="K58" s="189"/>
      <c r="X58" s="11"/>
    </row>
    <row r="59" spans="1:24" x14ac:dyDescent="0.3">
      <c r="A59" s="30" t="s">
        <v>271</v>
      </c>
      <c r="B59" s="396">
        <f t="shared" si="15"/>
        <v>49892.275262347874</v>
      </c>
      <c r="C59" s="472"/>
      <c r="D59" s="550">
        <v>1024047.8508980125</v>
      </c>
      <c r="E59" s="550">
        <v>1034798.5034137972</v>
      </c>
      <c r="F59" s="550">
        <v>1047773.5340755051</v>
      </c>
      <c r="G59" s="362">
        <v>1044553.7311320018</v>
      </c>
      <c r="H59" s="14">
        <f t="shared" si="13"/>
        <v>1037793.4048798291</v>
      </c>
      <c r="I59" s="14">
        <f t="shared" si="14"/>
        <v>4151173.6195193166</v>
      </c>
      <c r="J59" s="11"/>
      <c r="K59" s="189"/>
      <c r="X59" s="11"/>
    </row>
    <row r="60" spans="1:24" x14ac:dyDescent="0.3">
      <c r="A60" s="30" t="s">
        <v>268</v>
      </c>
      <c r="B60" s="396">
        <f t="shared" si="15"/>
        <v>67153.104661255769</v>
      </c>
      <c r="C60" s="472"/>
      <c r="D60" s="550">
        <v>466389.36353572021</v>
      </c>
      <c r="E60" s="550">
        <v>470363.37001475232</v>
      </c>
      <c r="F60" s="550">
        <v>471096.65893580252</v>
      </c>
      <c r="G60" s="362">
        <v>472437.53802888631</v>
      </c>
      <c r="H60" s="14">
        <f t="shared" si="13"/>
        <v>470071.73262879037</v>
      </c>
      <c r="I60" s="14">
        <f t="shared" si="14"/>
        <v>1880286.9305151615</v>
      </c>
      <c r="J60" s="11"/>
      <c r="K60" s="189"/>
      <c r="X60" s="11"/>
    </row>
    <row r="61" spans="1:24" x14ac:dyDescent="0.3">
      <c r="A61" s="30" t="s">
        <v>269</v>
      </c>
      <c r="B61" s="396">
        <f t="shared" si="15"/>
        <v>51222.9028487533</v>
      </c>
      <c r="C61" s="472"/>
      <c r="D61" s="550">
        <v>202804.23781855716</v>
      </c>
      <c r="E61" s="550">
        <v>204831.3665953427</v>
      </c>
      <c r="F61" s="550">
        <v>205273.32216027356</v>
      </c>
      <c r="G61" s="362">
        <v>206657.51900587938</v>
      </c>
      <c r="H61" s="14">
        <f t="shared" si="13"/>
        <v>204891.6113950132</v>
      </c>
      <c r="I61" s="14">
        <f t="shared" si="14"/>
        <v>819566.44558005279</v>
      </c>
      <c r="J61" s="11"/>
      <c r="K61" s="189"/>
      <c r="X61" s="11"/>
    </row>
    <row r="62" spans="1:24" x14ac:dyDescent="0.3">
      <c r="A62" s="30" t="s">
        <v>273</v>
      </c>
      <c r="B62" s="396">
        <f t="shared" si="15"/>
        <v>49391.665773551438</v>
      </c>
      <c r="C62" s="472"/>
      <c r="D62" s="417">
        <v>455231.38848767127</v>
      </c>
      <c r="E62" s="417">
        <v>438057.06266975618</v>
      </c>
      <c r="F62" s="417">
        <v>448422.89255826431</v>
      </c>
      <c r="G62" s="418">
        <v>436794.21330315783</v>
      </c>
      <c r="H62" s="14">
        <f t="shared" si="13"/>
        <v>444626.38925471238</v>
      </c>
      <c r="I62" s="14">
        <f t="shared" si="14"/>
        <v>1778505.5570188495</v>
      </c>
      <c r="J62" s="11"/>
      <c r="K62" s="189"/>
      <c r="X62" s="11"/>
    </row>
    <row r="63" spans="1:24" x14ac:dyDescent="0.3">
      <c r="A63" s="50" t="s">
        <v>57</v>
      </c>
      <c r="B63" s="395">
        <f t="shared" si="15"/>
        <v>78293.328027777505</v>
      </c>
      <c r="C63" s="480"/>
      <c r="D63" s="295">
        <f t="shared" ref="D63" si="19">SUM(D64:D66)</f>
        <v>1076267.8968759896</v>
      </c>
      <c r="E63" s="295">
        <f t="shared" ref="E63" si="20">SUM(E64:E66)</f>
        <v>1080541.0829310874</v>
      </c>
      <c r="F63" s="295">
        <f t="shared" ref="F63:G63" si="21">SUM(F64:F66)</f>
        <v>1089251.802482608</v>
      </c>
      <c r="G63" s="294">
        <f t="shared" si="21"/>
        <v>1099540.6766548213</v>
      </c>
      <c r="H63" s="54">
        <f t="shared" si="13"/>
        <v>1086400.3647361265</v>
      </c>
      <c r="I63" s="54">
        <f t="shared" si="14"/>
        <v>4345601.458944506</v>
      </c>
      <c r="J63" s="11"/>
      <c r="K63" s="189"/>
    </row>
    <row r="64" spans="1:24" x14ac:dyDescent="0.3">
      <c r="A64" s="30" t="s">
        <v>266</v>
      </c>
      <c r="B64" s="396">
        <f t="shared" si="15"/>
        <v>68741.192454688877</v>
      </c>
      <c r="C64" s="472"/>
      <c r="D64" s="519">
        <v>54325.366466723077</v>
      </c>
      <c r="E64" s="519">
        <v>54235.95034509345</v>
      </c>
      <c r="F64" s="519">
        <v>55813.949088719746</v>
      </c>
      <c r="G64" s="631">
        <v>55596.549954468144</v>
      </c>
      <c r="H64" s="14">
        <f t="shared" si="13"/>
        <v>54992.953963751104</v>
      </c>
      <c r="I64" s="14">
        <f t="shared" si="14"/>
        <v>219971.81585500442</v>
      </c>
      <c r="J64" s="11"/>
      <c r="K64" s="189"/>
      <c r="X64" s="11"/>
    </row>
    <row r="65" spans="1:24" x14ac:dyDescent="0.3">
      <c r="A65" s="30" t="s">
        <v>265</v>
      </c>
      <c r="B65" s="396">
        <f t="shared" si="15"/>
        <v>68206.741910183933</v>
      </c>
      <c r="C65" s="472"/>
      <c r="D65" s="550">
        <v>474182.9984939085</v>
      </c>
      <c r="E65" s="550">
        <v>476248.04681436275</v>
      </c>
      <c r="F65" s="550">
        <v>479062.18832513079</v>
      </c>
      <c r="G65" s="362">
        <v>480295.53985174821</v>
      </c>
      <c r="H65" s="14">
        <f t="shared" si="13"/>
        <v>477447.19337128755</v>
      </c>
      <c r="I65" s="14">
        <f t="shared" si="14"/>
        <v>1909788.7734851502</v>
      </c>
      <c r="J65" s="11"/>
      <c r="K65" s="189"/>
      <c r="X65" s="11"/>
    </row>
    <row r="66" spans="1:24" x14ac:dyDescent="0.3">
      <c r="A66" s="30" t="s">
        <v>267</v>
      </c>
      <c r="B66" s="396">
        <f t="shared" si="15"/>
        <v>91171.448247727225</v>
      </c>
      <c r="C66" s="472"/>
      <c r="D66" s="417">
        <v>547759.53191535803</v>
      </c>
      <c r="E66" s="417">
        <v>550057.0857716311</v>
      </c>
      <c r="F66" s="417">
        <v>554375.66506875749</v>
      </c>
      <c r="G66" s="418">
        <v>563648.58684860484</v>
      </c>
      <c r="H66" s="14">
        <f t="shared" si="13"/>
        <v>553960.21740108787</v>
      </c>
      <c r="I66" s="14">
        <f t="shared" si="14"/>
        <v>2215840.8696043515</v>
      </c>
      <c r="J66" s="11"/>
      <c r="K66" s="189"/>
      <c r="X66" s="11"/>
    </row>
    <row r="67" spans="1:24" x14ac:dyDescent="0.3">
      <c r="A67" s="50" t="s">
        <v>58</v>
      </c>
      <c r="B67" s="395">
        <f t="shared" si="15"/>
        <v>48541.538611031639</v>
      </c>
      <c r="C67" s="480"/>
      <c r="D67" s="295">
        <f t="shared" ref="D67" si="22">SUM(D68:D74)</f>
        <v>2261389.8555322322</v>
      </c>
      <c r="E67" s="295">
        <f t="shared" ref="E67" si="23">SUM(E68:E74)</f>
        <v>2249592.1412875406</v>
      </c>
      <c r="F67" s="295">
        <f t="shared" ref="F67:G67" si="24">SUM(F68:F74)</f>
        <v>2260244.4404668123</v>
      </c>
      <c r="G67" s="294">
        <f t="shared" si="24"/>
        <v>2282102.989962671</v>
      </c>
      <c r="H67" s="54">
        <f t="shared" si="13"/>
        <v>2263332.3568123141</v>
      </c>
      <c r="I67" s="54">
        <f t="shared" si="14"/>
        <v>9053329.4272492565</v>
      </c>
      <c r="J67" s="11"/>
      <c r="K67" s="189"/>
    </row>
    <row r="68" spans="1:24" x14ac:dyDescent="0.3">
      <c r="A68" s="30" t="s">
        <v>261</v>
      </c>
      <c r="B68" s="396">
        <f t="shared" si="15"/>
        <v>56537.394204655371</v>
      </c>
      <c r="C68" s="472"/>
      <c r="D68" s="519">
        <v>1404037.9711359655</v>
      </c>
      <c r="E68" s="519">
        <v>1384862.1719691572</v>
      </c>
      <c r="F68" s="519">
        <v>1391643.5127536131</v>
      </c>
      <c r="G68" s="631">
        <v>1405815.5824724862</v>
      </c>
      <c r="H68" s="14">
        <f t="shared" si="13"/>
        <v>1396589.8095828055</v>
      </c>
      <c r="I68" s="14">
        <f t="shared" si="14"/>
        <v>5586359.238331222</v>
      </c>
      <c r="J68" s="11"/>
      <c r="K68" s="189"/>
    </row>
    <row r="69" spans="1:24" x14ac:dyDescent="0.3">
      <c r="A69" s="30" t="s">
        <v>262</v>
      </c>
      <c r="B69" s="396">
        <f t="shared" si="15"/>
        <v>69108.220474206712</v>
      </c>
      <c r="C69" s="472"/>
      <c r="D69" s="550">
        <v>203249.05457544565</v>
      </c>
      <c r="E69" s="550">
        <v>207872.36728242543</v>
      </c>
      <c r="F69" s="550">
        <v>207954.86651981587</v>
      </c>
      <c r="G69" s="362">
        <v>210222.35731279352</v>
      </c>
      <c r="H69" s="14">
        <f t="shared" si="13"/>
        <v>207324.66142262012</v>
      </c>
      <c r="I69" s="14">
        <f t="shared" si="14"/>
        <v>829298.64569048048</v>
      </c>
      <c r="J69" s="11"/>
      <c r="K69" s="189"/>
    </row>
    <row r="70" spans="1:24" x14ac:dyDescent="0.3">
      <c r="A70" s="30" t="s">
        <v>263</v>
      </c>
      <c r="B70" s="396">
        <f t="shared" si="15"/>
        <v>41961.64318116603</v>
      </c>
      <c r="C70" s="472"/>
      <c r="D70" s="550">
        <v>290826.81304339069</v>
      </c>
      <c r="E70" s="550">
        <v>293389.42888054543</v>
      </c>
      <c r="F70" s="550">
        <v>293871.15434684249</v>
      </c>
      <c r="G70" s="362">
        <v>296838.61280186998</v>
      </c>
      <c r="H70" s="14">
        <f t="shared" si="13"/>
        <v>293731.50226816221</v>
      </c>
      <c r="I70" s="14">
        <f t="shared" si="14"/>
        <v>1174926.0090726488</v>
      </c>
      <c r="J70" s="11"/>
      <c r="K70" s="189"/>
    </row>
    <row r="71" spans="1:24" x14ac:dyDescent="0.3">
      <c r="A71" s="30" t="s">
        <v>264</v>
      </c>
      <c r="B71" s="396">
        <f t="shared" si="15"/>
        <v>30666.405512150512</v>
      </c>
      <c r="C71" s="472"/>
      <c r="D71" s="550">
        <v>363276.0167774306</v>
      </c>
      <c r="E71" s="550">
        <v>363468.1731554126</v>
      </c>
      <c r="F71" s="550">
        <v>366774.90684654075</v>
      </c>
      <c r="G71" s="362">
        <v>369226.43737552123</v>
      </c>
      <c r="H71" s="14">
        <f t="shared" si="13"/>
        <v>365686.38353872631</v>
      </c>
      <c r="I71" s="14">
        <f t="shared" si="14"/>
        <v>1462745.5341549052</v>
      </c>
      <c r="J71" s="11"/>
      <c r="K71" s="189"/>
    </row>
    <row r="72" spans="1:24" s="172" customFormat="1" ht="12" customHeight="1" x14ac:dyDescent="0.3">
      <c r="A72" s="369" t="s">
        <v>315</v>
      </c>
      <c r="B72" s="397" t="str">
        <f t="shared" si="15"/>
        <v>-</v>
      </c>
      <c r="C72" s="475"/>
      <c r="D72" s="550">
        <v>0</v>
      </c>
      <c r="E72" s="550">
        <v>0</v>
      </c>
      <c r="F72" s="550">
        <v>0</v>
      </c>
      <c r="G72" s="362">
        <v>0</v>
      </c>
      <c r="H72" s="371">
        <f t="shared" si="13"/>
        <v>0</v>
      </c>
      <c r="I72" s="371">
        <f t="shared" si="14"/>
        <v>0</v>
      </c>
      <c r="J72" s="235"/>
      <c r="K72" s="372"/>
      <c r="M72" s="2"/>
      <c r="N72" s="2"/>
      <c r="O72" s="2"/>
      <c r="P72" s="2"/>
      <c r="Q72" s="2"/>
      <c r="R72" s="2"/>
      <c r="S72" s="2"/>
      <c r="T72" s="2"/>
      <c r="U72" s="2"/>
      <c r="V72" s="2"/>
      <c r="W72" s="2"/>
    </row>
    <row r="73" spans="1:24" s="172" customFormat="1" ht="12" customHeight="1" x14ac:dyDescent="0.3">
      <c r="A73" s="30" t="s">
        <v>450</v>
      </c>
      <c r="B73" s="397" t="str">
        <f t="shared" si="15"/>
        <v>-</v>
      </c>
      <c r="C73" s="475"/>
      <c r="D73" s="550">
        <v>0</v>
      </c>
      <c r="E73" s="550">
        <v>0</v>
      </c>
      <c r="F73" s="550">
        <v>0</v>
      </c>
      <c r="G73" s="362">
        <v>0</v>
      </c>
      <c r="H73" s="371">
        <f t="shared" si="13"/>
        <v>0</v>
      </c>
      <c r="I73" s="371">
        <f t="shared" si="14"/>
        <v>0</v>
      </c>
      <c r="J73" s="235"/>
      <c r="K73" s="372"/>
      <c r="M73" s="2"/>
      <c r="N73" s="2"/>
      <c r="O73" s="2"/>
      <c r="P73" s="2"/>
      <c r="Q73" s="2"/>
      <c r="R73" s="2"/>
      <c r="S73" s="2"/>
      <c r="T73" s="2"/>
      <c r="U73" s="2"/>
      <c r="V73" s="2"/>
      <c r="W73" s="2"/>
    </row>
    <row r="74" spans="1:24" s="172" customFormat="1" x14ac:dyDescent="0.3">
      <c r="A74" s="369" t="s">
        <v>368</v>
      </c>
      <c r="B74" s="397" t="str">
        <f t="shared" ref="B74" si="25">IFERROR(I74/I48,"-")</f>
        <v>-</v>
      </c>
      <c r="C74" s="475"/>
      <c r="D74" s="417">
        <v>0</v>
      </c>
      <c r="E74" s="417">
        <v>0</v>
      </c>
      <c r="F74" s="417">
        <v>0</v>
      </c>
      <c r="G74" s="418">
        <v>0</v>
      </c>
      <c r="H74" s="371">
        <f t="shared" si="13"/>
        <v>0</v>
      </c>
      <c r="I74" s="371">
        <f t="shared" si="14"/>
        <v>0</v>
      </c>
      <c r="J74" s="235"/>
      <c r="K74" s="372"/>
      <c r="M74" s="2"/>
      <c r="N74" s="2"/>
      <c r="O74" s="2"/>
      <c r="P74" s="2"/>
      <c r="Q74" s="2"/>
      <c r="R74" s="2"/>
      <c r="S74" s="2"/>
      <c r="T74" s="2"/>
      <c r="U74" s="2"/>
      <c r="V74" s="2"/>
      <c r="W74" s="2"/>
    </row>
    <row r="75" spans="1:24" x14ac:dyDescent="0.3">
      <c r="A75" s="50" t="s">
        <v>187</v>
      </c>
      <c r="B75" s="395"/>
      <c r="C75" s="480"/>
      <c r="D75" s="295">
        <f t="shared" ref="D75:G75" si="26">SUM(D76:D78)</f>
        <v>608306.6048077126</v>
      </c>
      <c r="E75" s="295">
        <f t="shared" si="26"/>
        <v>608863.03669181815</v>
      </c>
      <c r="F75" s="295">
        <f t="shared" ref="F75" si="27">SUM(F76:F78)</f>
        <v>609022.88130414183</v>
      </c>
      <c r="G75" s="294">
        <f t="shared" si="26"/>
        <v>610683.46000576555</v>
      </c>
      <c r="H75" s="54">
        <f t="shared" si="13"/>
        <v>609218.99570235959</v>
      </c>
      <c r="I75" s="54">
        <f t="shared" si="14"/>
        <v>2436875.9828094384</v>
      </c>
      <c r="J75" s="11"/>
      <c r="K75" s="189"/>
    </row>
    <row r="76" spans="1:24" x14ac:dyDescent="0.3">
      <c r="A76" s="30" t="s">
        <v>171</v>
      </c>
      <c r="B76" s="396"/>
      <c r="C76" s="472"/>
      <c r="D76" s="312">
        <v>138294.60480771263</v>
      </c>
      <c r="E76" s="312">
        <v>138851.03669181812</v>
      </c>
      <c r="F76" s="547">
        <v>139010.88130414177</v>
      </c>
      <c r="G76" s="313">
        <v>140671.46000576552</v>
      </c>
      <c r="H76" s="14">
        <f t="shared" si="13"/>
        <v>139206.99570235951</v>
      </c>
      <c r="I76" s="14">
        <f t="shared" si="14"/>
        <v>556827.98280943802</v>
      </c>
      <c r="J76" s="11"/>
      <c r="K76" s="189"/>
    </row>
    <row r="77" spans="1:24" x14ac:dyDescent="0.3">
      <c r="A77" s="30" t="s">
        <v>20</v>
      </c>
      <c r="B77" s="396"/>
      <c r="C77" s="472"/>
      <c r="D77" s="312">
        <v>20000</v>
      </c>
      <c r="E77" s="312">
        <v>20000</v>
      </c>
      <c r="F77" s="547">
        <v>20000</v>
      </c>
      <c r="G77" s="313">
        <v>20000</v>
      </c>
      <c r="H77" s="14">
        <f t="shared" si="13"/>
        <v>20000</v>
      </c>
      <c r="I77" s="14">
        <f t="shared" si="14"/>
        <v>80000</v>
      </c>
      <c r="J77" s="11"/>
      <c r="K77" s="189"/>
    </row>
    <row r="78" spans="1:24" x14ac:dyDescent="0.3">
      <c r="A78" s="61" t="s">
        <v>21</v>
      </c>
      <c r="B78" s="396"/>
      <c r="C78" s="472"/>
      <c r="D78" s="312">
        <v>450012</v>
      </c>
      <c r="E78" s="312">
        <v>450012</v>
      </c>
      <c r="F78" s="547">
        <v>450012</v>
      </c>
      <c r="G78" s="313">
        <v>450012</v>
      </c>
      <c r="H78" s="14">
        <f t="shared" si="13"/>
        <v>450012</v>
      </c>
      <c r="I78" s="14">
        <f t="shared" si="14"/>
        <v>1800048</v>
      </c>
      <c r="J78" s="11"/>
      <c r="K78" s="189"/>
    </row>
    <row r="79" spans="1:24" s="5" customFormat="1" x14ac:dyDescent="0.3">
      <c r="A79" s="50" t="s">
        <v>124</v>
      </c>
      <c r="B79" s="395">
        <f>IFERROR(I79/I49,"-")</f>
        <v>197826.13103247489</v>
      </c>
      <c r="C79" s="481"/>
      <c r="D79" s="393">
        <v>192319.22224999993</v>
      </c>
      <c r="E79" s="393">
        <v>195954.01058374991</v>
      </c>
      <c r="F79" s="393">
        <v>199643.32074250613</v>
      </c>
      <c r="G79" s="394">
        <v>203387.97055364368</v>
      </c>
      <c r="H79" s="54">
        <f t="shared" si="13"/>
        <v>197826.13103247489</v>
      </c>
      <c r="I79" s="54">
        <f t="shared" si="14"/>
        <v>791304.52412989957</v>
      </c>
      <c r="J79" s="11"/>
      <c r="K79" s="189"/>
      <c r="M79" s="2"/>
      <c r="N79" s="2"/>
      <c r="O79" s="2"/>
      <c r="P79" s="2"/>
      <c r="Q79" s="2"/>
      <c r="R79" s="2"/>
      <c r="S79" s="2"/>
      <c r="T79" s="2"/>
      <c r="U79" s="2"/>
      <c r="V79" s="2"/>
      <c r="W79" s="2"/>
    </row>
    <row r="80" spans="1:24" x14ac:dyDescent="0.3">
      <c r="A80" s="18" t="s">
        <v>7</v>
      </c>
      <c r="B80" s="398">
        <f>IFERROR(I80/I50,"-")</f>
        <v>62672.812448139943</v>
      </c>
      <c r="C80" s="476"/>
      <c r="D80" s="19">
        <f t="shared" ref="D80:G80" si="28">D56+D63+D67+D75+D79</f>
        <v>9591316.5425037276</v>
      </c>
      <c r="E80" s="19">
        <f t="shared" si="28"/>
        <v>9550099.3647460267</v>
      </c>
      <c r="F80" s="19">
        <f t="shared" ref="F80" si="29">F56+F63+F67+F75+F79</f>
        <v>9622228.4969595708</v>
      </c>
      <c r="G80" s="35">
        <f t="shared" si="28"/>
        <v>9647163.988633424</v>
      </c>
      <c r="H80" s="20">
        <f t="shared" si="13"/>
        <v>9602702.0982106887</v>
      </c>
      <c r="I80" s="20">
        <f t="shared" si="14"/>
        <v>38410808.392842755</v>
      </c>
      <c r="J80" s="11"/>
      <c r="K80" s="190" t="s">
        <v>432</v>
      </c>
    </row>
  </sheetData>
  <mergeCells count="6">
    <mergeCell ref="K54:K55"/>
    <mergeCell ref="A1:I1"/>
    <mergeCell ref="A54:A55"/>
    <mergeCell ref="B54:B55"/>
    <mergeCell ref="A28:A29"/>
    <mergeCell ref="B28:B29"/>
  </mergeCells>
  <phoneticPr fontId="20" type="noConversion"/>
  <printOptions horizontalCentered="1"/>
  <pageMargins left="0.70866141732283472" right="0.70866141732283472" top="0.74803149606299213" bottom="0.74803149606299213" header="0.31496062992125984" footer="0.31496062992125984"/>
  <pageSetup paperSize="9" scale="59" fitToHeight="4" orientation="landscape" r:id="rId1"/>
  <headerFooter>
    <oddHeader>&amp;L&amp;F&amp;R&amp;A</oddHeader>
    <oddFooter>&amp;L&amp;D&amp;C&amp;P/&amp;N&amp;R&amp;T</oddFooter>
  </headerFooter>
  <rowBreaks count="1" manualBreakCount="1">
    <brk id="50" max="16383" man="1"/>
  </rowBreaks>
  <ignoredErrors>
    <ignoredError sqref="D56:E56 D63:E63 D67:E67 G56 G63 G67"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8"/>
    <pageSetUpPr fitToPage="1"/>
  </sheetPr>
  <dimension ref="A1:P67"/>
  <sheetViews>
    <sheetView showGridLines="0" view="pageBreakPreview" zoomScale="85" zoomScaleNormal="100" zoomScaleSheetLayoutView="85" workbookViewId="0">
      <selection activeCell="A17" sqref="A17"/>
    </sheetView>
  </sheetViews>
  <sheetFormatPr baseColWidth="10" defaultColWidth="10.26953125" defaultRowHeight="13" x14ac:dyDescent="0.35"/>
  <cols>
    <col min="1" max="1" width="67.7265625" style="95" customWidth="1"/>
    <col min="2" max="3" width="11.453125" style="99" customWidth="1"/>
    <col min="4" max="4" width="14.54296875" style="99" customWidth="1"/>
    <col min="5" max="5" width="13.7265625" style="99" customWidth="1"/>
    <col min="6" max="9" width="11.453125" style="95" customWidth="1"/>
    <col min="10" max="10" width="6.7265625" style="95" customWidth="1"/>
    <col min="11" max="11" width="18" style="95" bestFit="1" customWidth="1"/>
    <col min="12" max="12" width="10.26953125" style="95"/>
    <col min="13" max="16" width="10.26953125" style="275"/>
    <col min="17" max="16384" width="10.26953125" style="95"/>
  </cols>
  <sheetData>
    <row r="1" spans="1:16" s="97" customFormat="1" ht="27" customHeight="1" x14ac:dyDescent="0.35">
      <c r="A1" s="675" t="s">
        <v>255</v>
      </c>
      <c r="B1" s="664"/>
      <c r="C1" s="664"/>
      <c r="D1" s="664"/>
      <c r="E1" s="664"/>
      <c r="F1" s="664"/>
      <c r="G1" s="664"/>
      <c r="H1" s="664"/>
      <c r="I1" s="665"/>
      <c r="M1" s="273"/>
      <c r="N1" s="273"/>
      <c r="O1" s="273"/>
      <c r="P1" s="273"/>
    </row>
    <row r="2" spans="1:16" ht="14.5" x14ac:dyDescent="0.35">
      <c r="A2" s="98"/>
      <c r="B2" s="98"/>
      <c r="C2" s="98"/>
      <c r="D2" s="98"/>
      <c r="E2" s="98"/>
      <c r="F2" s="98"/>
      <c r="G2" s="98"/>
      <c r="H2" s="98"/>
      <c r="I2" s="98"/>
      <c r="K2"/>
      <c r="L2"/>
    </row>
    <row r="3" spans="1:16" ht="14.25" customHeight="1" x14ac:dyDescent="0.35">
      <c r="A3" s="682" t="s">
        <v>220</v>
      </c>
      <c r="B3" s="684" t="s">
        <v>190</v>
      </c>
      <c r="C3" s="686" t="s">
        <v>175</v>
      </c>
      <c r="D3" s="683" t="s">
        <v>173</v>
      </c>
      <c r="E3" s="685" t="s">
        <v>222</v>
      </c>
      <c r="J3"/>
      <c r="K3"/>
      <c r="L3"/>
    </row>
    <row r="4" spans="1:16" ht="12" customHeight="1" x14ac:dyDescent="0.35">
      <c r="A4" s="682"/>
      <c r="B4" s="684"/>
      <c r="C4" s="687"/>
      <c r="D4" s="683"/>
      <c r="E4" s="685"/>
      <c r="J4"/>
      <c r="K4"/>
      <c r="L4"/>
    </row>
    <row r="5" spans="1:16" ht="13" hidden="1" customHeight="1" x14ac:dyDescent="0.35">
      <c r="A5" s="399" t="s">
        <v>505</v>
      </c>
      <c r="B5" s="403"/>
      <c r="C5" s="404"/>
      <c r="D5" s="405"/>
      <c r="E5" s="405"/>
      <c r="F5" s="100"/>
      <c r="G5" s="100"/>
      <c r="H5" s="100"/>
      <c r="I5" s="100"/>
      <c r="J5"/>
      <c r="K5"/>
      <c r="L5"/>
    </row>
    <row r="6" spans="1:16" ht="13" hidden="1" customHeight="1" x14ac:dyDescent="0.35">
      <c r="A6" s="399" t="s">
        <v>506</v>
      </c>
      <c r="B6" s="403"/>
      <c r="C6" s="404"/>
      <c r="D6" s="405"/>
      <c r="E6" s="405"/>
      <c r="F6" s="100"/>
      <c r="G6" s="100"/>
      <c r="H6" s="100"/>
      <c r="I6" s="100"/>
      <c r="J6"/>
      <c r="K6"/>
      <c r="L6"/>
    </row>
    <row r="7" spans="1:16" ht="15.75" hidden="1" customHeight="1" x14ac:dyDescent="0.35">
      <c r="A7" s="399" t="s">
        <v>507</v>
      </c>
      <c r="B7" s="403"/>
      <c r="C7" s="404"/>
      <c r="D7" s="405"/>
      <c r="E7" s="405"/>
      <c r="J7"/>
      <c r="K7"/>
      <c r="L7"/>
    </row>
    <row r="8" spans="1:16" ht="13" hidden="1" customHeight="1" x14ac:dyDescent="0.35">
      <c r="A8" s="637" t="s">
        <v>523</v>
      </c>
      <c r="B8" s="403"/>
      <c r="C8" s="404"/>
      <c r="D8" s="405"/>
      <c r="E8" s="405"/>
      <c r="F8" s="101"/>
      <c r="G8" s="101"/>
      <c r="H8" s="101"/>
      <c r="I8" s="101"/>
      <c r="J8"/>
      <c r="K8"/>
      <c r="L8"/>
    </row>
    <row r="9" spans="1:16" ht="13" hidden="1" customHeight="1" x14ac:dyDescent="0.35">
      <c r="A9" s="637" t="s">
        <v>524</v>
      </c>
      <c r="B9" s="403"/>
      <c r="C9" s="404"/>
      <c r="D9" s="405"/>
      <c r="E9" s="405"/>
      <c r="F9" s="101"/>
      <c r="G9" s="101"/>
      <c r="H9" s="101"/>
      <c r="I9" s="101"/>
      <c r="J9"/>
      <c r="K9"/>
      <c r="L9"/>
    </row>
    <row r="10" spans="1:16" ht="26" x14ac:dyDescent="0.35">
      <c r="A10" s="637" t="s">
        <v>515</v>
      </c>
      <c r="B10" s="403">
        <v>30000</v>
      </c>
      <c r="C10" s="404">
        <v>46023</v>
      </c>
      <c r="D10" s="405">
        <v>6</v>
      </c>
      <c r="E10" s="405">
        <v>10000</v>
      </c>
      <c r="F10" s="101"/>
      <c r="G10" s="101"/>
      <c r="H10" s="101"/>
      <c r="I10" s="101"/>
      <c r="J10"/>
      <c r="K10"/>
      <c r="L10"/>
    </row>
    <row r="11" spans="1:16" ht="26" x14ac:dyDescent="0.35">
      <c r="A11" s="637" t="s">
        <v>516</v>
      </c>
      <c r="B11" s="403">
        <v>30000</v>
      </c>
      <c r="C11" s="404">
        <v>46388</v>
      </c>
      <c r="D11" s="405">
        <v>6</v>
      </c>
      <c r="E11" s="405">
        <v>15000</v>
      </c>
      <c r="F11" s="101"/>
      <c r="G11" s="101"/>
      <c r="H11" s="101"/>
      <c r="I11" s="101"/>
      <c r="J11"/>
      <c r="K11"/>
      <c r="L11"/>
    </row>
    <row r="12" spans="1:16" ht="26" x14ac:dyDescent="0.35">
      <c r="A12" s="637" t="s">
        <v>517</v>
      </c>
      <c r="B12" s="403">
        <v>30000</v>
      </c>
      <c r="C12" s="404">
        <v>46753</v>
      </c>
      <c r="D12" s="405">
        <v>6</v>
      </c>
      <c r="E12" s="405">
        <v>20000</v>
      </c>
      <c r="F12" s="101"/>
      <c r="G12" s="101"/>
      <c r="H12" s="101"/>
      <c r="I12" s="101"/>
      <c r="J12"/>
      <c r="K12"/>
      <c r="L12"/>
    </row>
    <row r="13" spans="1:16" ht="26" x14ac:dyDescent="0.35">
      <c r="A13" s="637" t="s">
        <v>518</v>
      </c>
      <c r="B13" s="403">
        <v>30000</v>
      </c>
      <c r="C13" s="404">
        <v>47119</v>
      </c>
      <c r="D13" s="405">
        <v>6</v>
      </c>
      <c r="E13" s="405">
        <v>25000</v>
      </c>
      <c r="F13" s="101"/>
      <c r="G13" s="101"/>
      <c r="H13" s="101"/>
      <c r="I13" s="101"/>
      <c r="J13"/>
      <c r="K13"/>
      <c r="L13"/>
    </row>
    <row r="14" spans="1:16" ht="39" hidden="1" x14ac:dyDescent="0.35">
      <c r="A14" s="637" t="s">
        <v>525</v>
      </c>
      <c r="B14" s="403"/>
      <c r="C14" s="404"/>
      <c r="D14" s="405"/>
      <c r="E14" s="405"/>
      <c r="F14" s="101"/>
      <c r="G14" s="101"/>
      <c r="H14" s="101"/>
      <c r="I14" s="101"/>
      <c r="J14"/>
      <c r="K14"/>
      <c r="L14"/>
    </row>
    <row r="15" spans="1:16" ht="39" hidden="1" x14ac:dyDescent="0.35">
      <c r="A15" s="638" t="s">
        <v>526</v>
      </c>
      <c r="B15" s="529"/>
      <c r="C15" s="530"/>
      <c r="D15" s="531"/>
      <c r="E15" s="531"/>
      <c r="F15" s="101"/>
      <c r="G15" s="101"/>
      <c r="H15" s="101"/>
      <c r="I15" s="101"/>
      <c r="J15"/>
      <c r="K15"/>
      <c r="L15"/>
    </row>
    <row r="16" spans="1:16" ht="39" x14ac:dyDescent="0.35">
      <c r="A16" s="638" t="s">
        <v>519</v>
      </c>
      <c r="B16" s="529">
        <v>101800</v>
      </c>
      <c r="C16" s="530">
        <v>46023</v>
      </c>
      <c r="D16" s="531">
        <v>5</v>
      </c>
      <c r="E16" s="531">
        <v>30360</v>
      </c>
      <c r="F16" s="101"/>
      <c r="G16" s="101"/>
      <c r="H16" s="101"/>
      <c r="I16" s="101"/>
      <c r="J16"/>
      <c r="K16"/>
      <c r="L16"/>
    </row>
    <row r="17" spans="1:16" ht="14.5" x14ac:dyDescent="0.35">
      <c r="A17" s="528" t="s">
        <v>520</v>
      </c>
      <c r="B17" s="529">
        <v>100000</v>
      </c>
      <c r="C17" s="530">
        <v>46388</v>
      </c>
      <c r="D17" s="531">
        <v>5</v>
      </c>
      <c r="E17" s="531">
        <v>60000</v>
      </c>
      <c r="F17" s="101"/>
      <c r="G17" s="101"/>
      <c r="H17" s="101"/>
      <c r="I17" s="101"/>
      <c r="J17"/>
      <c r="K17"/>
      <c r="L17"/>
    </row>
    <row r="18" spans="1:16" ht="14.5" x14ac:dyDescent="0.35">
      <c r="A18" s="528" t="s">
        <v>521</v>
      </c>
      <c r="B18" s="529">
        <v>42000</v>
      </c>
      <c r="C18" s="530">
        <v>46753</v>
      </c>
      <c r="D18" s="531">
        <v>5</v>
      </c>
      <c r="E18" s="531">
        <v>25200</v>
      </c>
      <c r="F18" s="101"/>
      <c r="G18" s="101"/>
      <c r="H18" s="101"/>
      <c r="I18" s="101"/>
      <c r="J18"/>
      <c r="K18"/>
      <c r="L18"/>
    </row>
    <row r="19" spans="1:16" ht="14.5" x14ac:dyDescent="0.35">
      <c r="A19" s="528" t="s">
        <v>522</v>
      </c>
      <c r="B19" s="529">
        <v>32000</v>
      </c>
      <c r="C19" s="530">
        <v>47119</v>
      </c>
      <c r="D19" s="531">
        <v>5</v>
      </c>
      <c r="E19" s="531">
        <v>25600</v>
      </c>
      <c r="F19" s="101"/>
      <c r="G19" s="101"/>
      <c r="H19" s="101"/>
      <c r="I19" s="101"/>
      <c r="J19"/>
      <c r="K19"/>
      <c r="L19"/>
    </row>
    <row r="20" spans="1:16" ht="14.5" hidden="1" x14ac:dyDescent="0.35">
      <c r="A20" s="528" t="s">
        <v>527</v>
      </c>
      <c r="B20" s="529"/>
      <c r="C20" s="530"/>
      <c r="D20" s="531"/>
      <c r="E20" s="531"/>
      <c r="F20" s="101"/>
      <c r="G20" s="101"/>
      <c r="H20" s="101"/>
      <c r="I20" s="101"/>
      <c r="J20"/>
      <c r="K20"/>
      <c r="L20"/>
    </row>
    <row r="21" spans="1:16" ht="14.5" x14ac:dyDescent="0.35">
      <c r="A21" s="528" t="s">
        <v>508</v>
      </c>
      <c r="B21" s="529">
        <v>38000</v>
      </c>
      <c r="C21" s="530">
        <v>46023</v>
      </c>
      <c r="D21" s="531">
        <v>5</v>
      </c>
      <c r="E21" s="531">
        <v>7600</v>
      </c>
      <c r="F21" s="101"/>
      <c r="G21" s="101"/>
      <c r="H21" s="101"/>
      <c r="I21" s="101"/>
      <c r="J21"/>
      <c r="K21"/>
      <c r="L21"/>
    </row>
    <row r="22" spans="1:16" ht="14.5" x14ac:dyDescent="0.35">
      <c r="A22" s="528" t="s">
        <v>509</v>
      </c>
      <c r="B22" s="529">
        <v>38000</v>
      </c>
      <c r="C22" s="530">
        <v>46753</v>
      </c>
      <c r="D22" s="531">
        <v>5</v>
      </c>
      <c r="E22" s="531">
        <v>22800</v>
      </c>
      <c r="F22" s="101"/>
      <c r="G22" s="101"/>
      <c r="H22" s="101"/>
      <c r="I22" s="101"/>
      <c r="J22"/>
      <c r="K22"/>
      <c r="L22"/>
    </row>
    <row r="23" spans="1:16" ht="14.5" hidden="1" x14ac:dyDescent="0.35">
      <c r="A23" s="528" t="s">
        <v>510</v>
      </c>
      <c r="B23" s="529"/>
      <c r="C23" s="530"/>
      <c r="D23" s="531"/>
      <c r="E23" s="531"/>
      <c r="F23" s="101"/>
      <c r="G23" s="101"/>
      <c r="H23" s="101"/>
      <c r="I23" s="101"/>
      <c r="J23"/>
      <c r="K23"/>
      <c r="L23"/>
    </row>
    <row r="24" spans="1:16" ht="14.5" hidden="1" x14ac:dyDescent="0.35">
      <c r="A24" s="528" t="s">
        <v>528</v>
      </c>
      <c r="B24" s="529"/>
      <c r="C24" s="530"/>
      <c r="D24" s="531"/>
      <c r="E24" s="531"/>
      <c r="F24" s="101"/>
      <c r="G24" s="101"/>
      <c r="H24" s="101"/>
      <c r="I24" s="101"/>
      <c r="J24"/>
      <c r="K24"/>
      <c r="L24"/>
    </row>
    <row r="25" spans="1:16" ht="14.5" hidden="1" x14ac:dyDescent="0.35">
      <c r="A25" s="528" t="s">
        <v>529</v>
      </c>
      <c r="B25" s="529"/>
      <c r="C25" s="530"/>
      <c r="D25" s="531"/>
      <c r="E25" s="531"/>
      <c r="F25" s="101"/>
      <c r="G25" s="101"/>
      <c r="H25" s="101"/>
      <c r="I25" s="101"/>
      <c r="J25"/>
      <c r="K25"/>
      <c r="L25"/>
    </row>
    <row r="26" spans="1:16" ht="14.5" hidden="1" x14ac:dyDescent="0.35">
      <c r="A26" s="528" t="s">
        <v>511</v>
      </c>
      <c r="B26" s="529"/>
      <c r="C26" s="530"/>
      <c r="D26" s="531"/>
      <c r="E26" s="531"/>
      <c r="F26" s="101"/>
      <c r="G26" s="101"/>
      <c r="H26" s="101"/>
      <c r="I26" s="101"/>
      <c r="J26"/>
      <c r="K26"/>
      <c r="L26"/>
    </row>
    <row r="27" spans="1:16" ht="14.5" x14ac:dyDescent="0.35">
      <c r="A27" s="528" t="s">
        <v>512</v>
      </c>
      <c r="B27" s="529">
        <v>16500</v>
      </c>
      <c r="C27" s="530">
        <v>46023</v>
      </c>
      <c r="D27" s="531">
        <v>5</v>
      </c>
      <c r="E27" s="531">
        <v>3300</v>
      </c>
      <c r="F27" s="101"/>
      <c r="G27" s="101"/>
      <c r="H27" s="101"/>
      <c r="I27" s="101"/>
      <c r="J27"/>
      <c r="K27"/>
      <c r="L27"/>
    </row>
    <row r="28" spans="1:16" ht="14.5" x14ac:dyDescent="0.35">
      <c r="A28" s="528" t="s">
        <v>512</v>
      </c>
      <c r="B28" s="529">
        <v>16500</v>
      </c>
      <c r="C28" s="530">
        <v>46388</v>
      </c>
      <c r="D28" s="531">
        <v>5</v>
      </c>
      <c r="E28" s="531">
        <v>6600</v>
      </c>
      <c r="F28" s="101"/>
      <c r="G28" s="101"/>
      <c r="H28" s="101"/>
      <c r="I28" s="101"/>
      <c r="J28"/>
      <c r="K28"/>
      <c r="L28"/>
    </row>
    <row r="29" spans="1:16" ht="13" customHeight="1" x14ac:dyDescent="0.35">
      <c r="A29" s="528"/>
      <c r="B29" s="529"/>
      <c r="C29" s="530"/>
      <c r="D29" s="531"/>
      <c r="E29" s="531"/>
      <c r="F29" s="101"/>
      <c r="G29" s="101"/>
      <c r="H29" s="101"/>
      <c r="I29" s="101"/>
      <c r="J29"/>
      <c r="K29"/>
      <c r="L29"/>
    </row>
    <row r="30" spans="1:16" ht="13" customHeight="1" x14ac:dyDescent="0.35">
      <c r="A30" s="528"/>
      <c r="B30" s="529"/>
      <c r="C30" s="530"/>
      <c r="D30" s="531"/>
      <c r="E30" s="531"/>
      <c r="F30" s="101"/>
      <c r="G30" s="101"/>
      <c r="H30" s="101"/>
      <c r="I30" s="101"/>
      <c r="J30"/>
      <c r="K30"/>
      <c r="L30"/>
    </row>
    <row r="31" spans="1:16" s="103" customFormat="1" ht="14.5" x14ac:dyDescent="0.35">
      <c r="A31" s="400" t="s">
        <v>7</v>
      </c>
      <c r="B31" s="401">
        <f>SUM(B5:B30)</f>
        <v>504800</v>
      </c>
      <c r="C31" s="532"/>
      <c r="D31" s="533"/>
      <c r="E31" s="402">
        <f>SUM(E5:E30)</f>
        <v>251460</v>
      </c>
      <c r="J31"/>
      <c r="K31"/>
      <c r="L31"/>
      <c r="M31" s="276"/>
      <c r="N31" s="276"/>
      <c r="O31" s="276"/>
      <c r="P31" s="276"/>
    </row>
    <row r="32" spans="1:16" ht="14.5" x14ac:dyDescent="0.35">
      <c r="B32" s="102"/>
      <c r="C32" s="102"/>
      <c r="K32"/>
      <c r="L32"/>
    </row>
    <row r="33" spans="1:11" ht="27.65" customHeight="1" x14ac:dyDescent="0.35">
      <c r="A33" s="666" t="s">
        <v>221</v>
      </c>
      <c r="B33" s="655"/>
      <c r="C33" s="3" t="str">
        <f>Annee0</f>
        <v>Année 0</v>
      </c>
      <c r="D33" s="3" t="str">
        <f>Annee1</f>
        <v>Année 1</v>
      </c>
      <c r="E33" s="3" t="str">
        <f>Annee2</f>
        <v>Année 2</v>
      </c>
      <c r="F33" s="121" t="str">
        <f>Annee3</f>
        <v>Année 3</v>
      </c>
      <c r="G33" s="121" t="str">
        <f>Annee4</f>
        <v>Année 4</v>
      </c>
      <c r="H33" s="181" t="s">
        <v>256</v>
      </c>
      <c r="I33" s="4" t="s">
        <v>59</v>
      </c>
      <c r="K33" s="661" t="s">
        <v>290</v>
      </c>
    </row>
    <row r="34" spans="1:11" x14ac:dyDescent="0.35">
      <c r="A34" s="669"/>
      <c r="B34" s="656"/>
      <c r="C34" s="77">
        <v>12</v>
      </c>
      <c r="D34" s="77">
        <v>12</v>
      </c>
      <c r="E34" s="77">
        <v>12</v>
      </c>
      <c r="F34" s="77">
        <v>12</v>
      </c>
      <c r="G34" s="77">
        <v>12</v>
      </c>
      <c r="H34" s="78">
        <f t="shared" ref="H34:H43" si="0">IFERROR(AVERAGE(C34:G34),0)</f>
        <v>12</v>
      </c>
      <c r="I34" s="78">
        <f t="shared" ref="I34:I61" si="1">SUM(C34:G34)</f>
        <v>60</v>
      </c>
      <c r="K34" s="662"/>
    </row>
    <row r="35" spans="1:11" ht="13" customHeight="1" x14ac:dyDescent="0.3">
      <c r="A35" s="406" t="str">
        <f t="shared" ref="A35:A44" si="2">IF(A5="","-",A5)</f>
        <v>Camion nacelle</v>
      </c>
      <c r="B35" s="108"/>
      <c r="C35" s="477"/>
      <c r="D35" s="540">
        <v>7000</v>
      </c>
      <c r="E35" s="540">
        <v>7000</v>
      </c>
      <c r="F35" s="540">
        <v>7000</v>
      </c>
      <c r="G35" s="408">
        <v>0</v>
      </c>
      <c r="H35" s="158">
        <f t="shared" si="0"/>
        <v>5250</v>
      </c>
      <c r="I35" s="158">
        <f t="shared" si="1"/>
        <v>21000</v>
      </c>
      <c r="K35" s="188"/>
    </row>
    <row r="36" spans="1:11" ht="13" customHeight="1" x14ac:dyDescent="0.3">
      <c r="A36" s="406" t="str">
        <f t="shared" si="2"/>
        <v>Nacelle (dépôt de Houdain)</v>
      </c>
      <c r="B36" s="108"/>
      <c r="C36" s="477"/>
      <c r="D36" s="409">
        <v>14250.111111111111</v>
      </c>
      <c r="E36" s="409">
        <v>14250.111111111111</v>
      </c>
      <c r="F36" s="409">
        <v>14250.111111111111</v>
      </c>
      <c r="G36" s="408">
        <v>14250.111111111111</v>
      </c>
      <c r="H36" s="158">
        <f t="shared" si="0"/>
        <v>14250.111111111111</v>
      </c>
      <c r="I36" s="158">
        <f t="shared" si="1"/>
        <v>57000.444444444445</v>
      </c>
      <c r="K36" s="189"/>
    </row>
    <row r="37" spans="1:11" ht="13" customHeight="1" x14ac:dyDescent="0.3">
      <c r="A37" s="406" t="str">
        <f t="shared" si="2"/>
        <v>Jeux de 6 colonnes (dépôt de Hénin)</v>
      </c>
      <c r="B37" s="108"/>
      <c r="C37" s="477"/>
      <c r="D37" s="409">
        <v>5333.333333333333</v>
      </c>
      <c r="E37" s="409">
        <v>5333.333333333333</v>
      </c>
      <c r="F37" s="409">
        <v>5333.333333333333</v>
      </c>
      <c r="G37" s="408">
        <v>5333.333333333333</v>
      </c>
      <c r="H37" s="158">
        <f t="shared" si="0"/>
        <v>5333.333333333333</v>
      </c>
      <c r="I37" s="158">
        <f t="shared" si="1"/>
        <v>21333.333333333332</v>
      </c>
      <c r="K37" s="189"/>
    </row>
    <row r="38" spans="1:11" ht="13" customHeight="1" x14ac:dyDescent="0.3">
      <c r="A38" s="406" t="str">
        <f t="shared" si="2"/>
        <v>Renouvellement des équipements et amélioration 1
 (Enveloppe annuelle pour renouvellement des équipements atelier)</v>
      </c>
      <c r="B38" s="108"/>
      <c r="C38" s="477"/>
      <c r="D38" s="409">
        <v>5000</v>
      </c>
      <c r="E38" s="409">
        <v>5000</v>
      </c>
      <c r="F38" s="409">
        <v>5000</v>
      </c>
      <c r="G38" s="408">
        <v>5000</v>
      </c>
      <c r="H38" s="158">
        <f t="shared" si="0"/>
        <v>5000</v>
      </c>
      <c r="I38" s="158">
        <f t="shared" si="1"/>
        <v>20000</v>
      </c>
      <c r="K38" s="189"/>
    </row>
    <row r="39" spans="1:11" ht="13" customHeight="1" x14ac:dyDescent="0.3">
      <c r="A39" s="406" t="str">
        <f t="shared" si="2"/>
        <v>Renouvellement des équipements et amélioration 2
 (Enveloppe annuelle pour renouvellement des équipements atelier)</v>
      </c>
      <c r="B39" s="108"/>
      <c r="C39" s="477"/>
      <c r="D39" s="409">
        <v>5000</v>
      </c>
      <c r="E39" s="409">
        <v>5000</v>
      </c>
      <c r="F39" s="409">
        <v>5000</v>
      </c>
      <c r="G39" s="408">
        <v>5000</v>
      </c>
      <c r="H39" s="158">
        <f t="shared" si="0"/>
        <v>5000</v>
      </c>
      <c r="I39" s="158">
        <f t="shared" si="1"/>
        <v>20000</v>
      </c>
      <c r="K39" s="189"/>
    </row>
    <row r="40" spans="1:11" ht="13" customHeight="1" x14ac:dyDescent="0.3">
      <c r="A40" s="406" t="str">
        <f t="shared" si="2"/>
        <v>Renouvellement des équipements et amélioration 3
 (Enveloppe annuelle pour renouvellement des équipements atelier)</v>
      </c>
      <c r="B40" s="108"/>
      <c r="C40" s="477"/>
      <c r="D40" s="409">
        <v>5000</v>
      </c>
      <c r="E40" s="409">
        <v>5000</v>
      </c>
      <c r="F40" s="409">
        <v>5000</v>
      </c>
      <c r="G40" s="408">
        <v>5000</v>
      </c>
      <c r="H40" s="158">
        <f t="shared" si="0"/>
        <v>5000</v>
      </c>
      <c r="I40" s="158">
        <f t="shared" si="1"/>
        <v>20000</v>
      </c>
      <c r="K40" s="189"/>
    </row>
    <row r="41" spans="1:11" ht="13" customHeight="1" x14ac:dyDescent="0.3">
      <c r="A41" s="406" t="str">
        <f t="shared" si="2"/>
        <v>Renouvellement des équipements et amélioration 4
 (Enveloppe annuelle pour renouvellement des équipements atelier)</v>
      </c>
      <c r="B41" s="108"/>
      <c r="C41" s="477"/>
      <c r="D41" s="409">
        <v>0</v>
      </c>
      <c r="E41" s="409">
        <v>5000</v>
      </c>
      <c r="F41" s="409">
        <v>5000</v>
      </c>
      <c r="G41" s="408">
        <v>5000</v>
      </c>
      <c r="H41" s="158">
        <f t="shared" si="0"/>
        <v>3750</v>
      </c>
      <c r="I41" s="158">
        <f t="shared" si="1"/>
        <v>15000</v>
      </c>
      <c r="K41" s="189"/>
    </row>
    <row r="42" spans="1:11" ht="13" customHeight="1" x14ac:dyDescent="0.3">
      <c r="A42" s="406" t="str">
        <f t="shared" si="2"/>
        <v>Renouvellement des équipements et amélioration 5
 (Enveloppe annuelle pour renouvellement des équipements atelier)</v>
      </c>
      <c r="B42" s="108"/>
      <c r="C42" s="477"/>
      <c r="D42" s="409">
        <v>0</v>
      </c>
      <c r="E42" s="409">
        <v>0</v>
      </c>
      <c r="F42" s="409">
        <v>5000</v>
      </c>
      <c r="G42" s="408">
        <v>5000</v>
      </c>
      <c r="H42" s="158">
        <f t="shared" si="0"/>
        <v>2500</v>
      </c>
      <c r="I42" s="158">
        <f t="shared" si="1"/>
        <v>10000</v>
      </c>
      <c r="K42" s="189"/>
    </row>
    <row r="43" spans="1:11" ht="13" customHeight="1" x14ac:dyDescent="0.3">
      <c r="A43" s="406" t="str">
        <f t="shared" si="2"/>
        <v>Renouvellement des équipements et amélioration 6
 (Enveloppe annuelle pour renouvellement des équipements atelier)</v>
      </c>
      <c r="B43" s="108"/>
      <c r="C43" s="477"/>
      <c r="D43" s="409">
        <v>0</v>
      </c>
      <c r="E43" s="409">
        <v>0</v>
      </c>
      <c r="F43" s="409">
        <v>0</v>
      </c>
      <c r="G43" s="408">
        <v>5000</v>
      </c>
      <c r="H43" s="158">
        <f t="shared" si="0"/>
        <v>1250</v>
      </c>
      <c r="I43" s="158">
        <f t="shared" si="1"/>
        <v>5000</v>
      </c>
      <c r="K43" s="189"/>
    </row>
    <row r="44" spans="1:11" ht="13" customHeight="1" x14ac:dyDescent="0.3">
      <c r="A44" s="406" t="str">
        <f t="shared" si="2"/>
        <v>Infrastructures 2024 (Socle de virtualisation, aménagement salles serveur, 
infrastructure cœur réseau, Wifi à bord, renouvellement wifi en station, 
postes de travail bureautique et industriel, centre d'appel)</v>
      </c>
      <c r="B44" s="108"/>
      <c r="C44" s="477"/>
      <c r="D44" s="409">
        <v>52383.6</v>
      </c>
      <c r="E44" s="409">
        <v>52383.6</v>
      </c>
      <c r="F44" s="409">
        <v>52383.6</v>
      </c>
      <c r="G44" s="408">
        <v>0</v>
      </c>
      <c r="H44" s="158">
        <f t="shared" ref="H44:H60" si="3">IFERROR(AVERAGE(C44:G44),0)</f>
        <v>39287.699999999997</v>
      </c>
      <c r="I44" s="158">
        <f t="shared" ref="I44:I60" si="4">SUM(C44:G44)</f>
        <v>157150.79999999999</v>
      </c>
      <c r="K44" s="189"/>
    </row>
    <row r="45" spans="1:11" ht="13" customHeight="1" x14ac:dyDescent="0.3">
      <c r="A45" s="535" t="str">
        <f t="shared" ref="A45:A58" si="5">IF(A15="","-",A15)</f>
        <v>Infrastructures 2025 (Socle de virtualisation, aménagement salles serveur
, routeurs wifi véhicules et stations,  postes de travail bureautique et industriel,renouvellement borne conducteur connecté)</v>
      </c>
      <c r="B45" s="536"/>
      <c r="C45" s="534"/>
      <c r="D45" s="538">
        <v>41270.400000000001</v>
      </c>
      <c r="E45" s="538">
        <v>41270.400000000001</v>
      </c>
      <c r="F45" s="538">
        <v>41270.400000000001</v>
      </c>
      <c r="G45" s="539">
        <v>41270.400000000001</v>
      </c>
      <c r="H45" s="158">
        <f t="shared" si="3"/>
        <v>41270.400000000001</v>
      </c>
      <c r="I45" s="158">
        <f t="shared" si="4"/>
        <v>165081.60000000001</v>
      </c>
      <c r="K45" s="189"/>
    </row>
    <row r="46" spans="1:11" ht="13" customHeight="1" x14ac:dyDescent="0.3">
      <c r="A46" s="537" t="str">
        <f t="shared" si="5"/>
        <v>Infrastructures 2026 
(Socle de virtualisation, renouvellement des switchs d'accès, renouvellement des PDU, postes de travail bureautiques et industriels, centre d'appel)</v>
      </c>
      <c r="B46" s="536"/>
      <c r="C46" s="534"/>
      <c r="D46" s="538">
        <v>30360</v>
      </c>
      <c r="E46" s="538">
        <v>30360</v>
      </c>
      <c r="F46" s="538">
        <v>30360</v>
      </c>
      <c r="G46" s="539">
        <v>30360</v>
      </c>
      <c r="H46" s="158">
        <f t="shared" si="3"/>
        <v>30360</v>
      </c>
      <c r="I46" s="158">
        <f t="shared" si="4"/>
        <v>121440</v>
      </c>
      <c r="K46" s="189"/>
    </row>
    <row r="47" spans="1:11" ht="13" customHeight="1" x14ac:dyDescent="0.3">
      <c r="A47" s="537" t="str">
        <f t="shared" si="5"/>
        <v>Infrastructures 2027 (renouvellement infrastructure cœur de réseau, aménagement salles serveurs, postes de travail bureautique &amp; industriels)</v>
      </c>
      <c r="B47" s="536"/>
      <c r="C47" s="534"/>
      <c r="D47" s="538">
        <v>0</v>
      </c>
      <c r="E47" s="538">
        <v>30000</v>
      </c>
      <c r="F47" s="538">
        <v>30000</v>
      </c>
      <c r="G47" s="539">
        <v>30000</v>
      </c>
      <c r="H47" s="158">
        <f t="shared" si="3"/>
        <v>22500</v>
      </c>
      <c r="I47" s="158">
        <f t="shared" si="4"/>
        <v>90000</v>
      </c>
      <c r="K47" s="189"/>
    </row>
    <row r="48" spans="1:11" ht="13" customHeight="1" x14ac:dyDescent="0.3">
      <c r="A48" s="537" t="str">
        <f t="shared" si="5"/>
        <v>Infrastructures 2028 (Renouvellement postes de travail bureautiqueset industriels)</v>
      </c>
      <c r="B48" s="536"/>
      <c r="C48" s="534"/>
      <c r="D48" s="538">
        <v>0</v>
      </c>
      <c r="E48" s="538">
        <v>0</v>
      </c>
      <c r="F48" s="538">
        <v>8400</v>
      </c>
      <c r="G48" s="539">
        <v>8400</v>
      </c>
      <c r="H48" s="158">
        <f t="shared" si="3"/>
        <v>4200</v>
      </c>
      <c r="I48" s="158">
        <f t="shared" si="4"/>
        <v>16800</v>
      </c>
      <c r="K48" s="189"/>
    </row>
    <row r="49" spans="1:16" ht="13" customHeight="1" x14ac:dyDescent="0.3">
      <c r="A49" s="537" t="str">
        <f t="shared" si="5"/>
        <v>Infrastructures 2029  (Renouvellement postes de travail bureautiqueset industriels)</v>
      </c>
      <c r="B49" s="536"/>
      <c r="C49" s="534"/>
      <c r="D49" s="538">
        <v>0</v>
      </c>
      <c r="E49" s="538">
        <v>0</v>
      </c>
      <c r="F49" s="538">
        <v>0</v>
      </c>
      <c r="G49" s="539">
        <v>6400</v>
      </c>
      <c r="H49" s="158">
        <f t="shared" si="3"/>
        <v>1600</v>
      </c>
      <c r="I49" s="158">
        <f t="shared" si="4"/>
        <v>6400</v>
      </c>
      <c r="K49" s="189"/>
    </row>
    <row r="50" spans="1:16" ht="13" customHeight="1" x14ac:dyDescent="0.3">
      <c r="A50" s="537" t="str">
        <f t="shared" si="5"/>
        <v>Camion de dépannage 2024 - renouvellmement des camions de dépannage atelier</v>
      </c>
      <c r="B50" s="536"/>
      <c r="C50" s="534"/>
      <c r="D50" s="538">
        <v>15200</v>
      </c>
      <c r="E50" s="538">
        <v>15200</v>
      </c>
      <c r="F50" s="538">
        <v>15200</v>
      </c>
      <c r="G50" s="539">
        <v>0</v>
      </c>
      <c r="H50" s="158">
        <f t="shared" si="3"/>
        <v>11400</v>
      </c>
      <c r="I50" s="158">
        <f t="shared" si="4"/>
        <v>45600</v>
      </c>
      <c r="K50" s="189"/>
    </row>
    <row r="51" spans="1:16" ht="13" customHeight="1" x14ac:dyDescent="0.3">
      <c r="A51" s="537" t="str">
        <f t="shared" si="5"/>
        <v>Camion de dépannage 2026</v>
      </c>
      <c r="B51" s="536"/>
      <c r="C51" s="534"/>
      <c r="D51" s="538">
        <v>7600</v>
      </c>
      <c r="E51" s="538">
        <v>7600</v>
      </c>
      <c r="F51" s="538">
        <v>7600</v>
      </c>
      <c r="G51" s="539">
        <v>7600</v>
      </c>
      <c r="H51" s="158">
        <f t="shared" si="3"/>
        <v>7600</v>
      </c>
      <c r="I51" s="158">
        <f t="shared" si="4"/>
        <v>30400</v>
      </c>
      <c r="K51" s="189"/>
    </row>
    <row r="52" spans="1:16" ht="13" customHeight="1" x14ac:dyDescent="0.3">
      <c r="A52" s="537" t="str">
        <f t="shared" si="5"/>
        <v>Camion de dépannage 2028</v>
      </c>
      <c r="B52" s="536"/>
      <c r="C52" s="534"/>
      <c r="D52" s="538">
        <v>0</v>
      </c>
      <c r="E52" s="538">
        <v>0</v>
      </c>
      <c r="F52" s="538">
        <v>7600</v>
      </c>
      <c r="G52" s="539">
        <v>7600</v>
      </c>
      <c r="H52" s="158">
        <f t="shared" si="3"/>
        <v>3800</v>
      </c>
      <c r="I52" s="158">
        <f t="shared" si="4"/>
        <v>15200</v>
      </c>
      <c r="K52" s="189"/>
    </row>
    <row r="53" spans="1:16" ht="13" customHeight="1" x14ac:dyDescent="0.3">
      <c r="A53" s="537" t="str">
        <f t="shared" si="5"/>
        <v>Services vélos</v>
      </c>
      <c r="B53" s="536"/>
      <c r="C53" s="534"/>
      <c r="D53" s="538">
        <v>5016</v>
      </c>
      <c r="E53" s="538">
        <v>5016</v>
      </c>
      <c r="F53" s="538">
        <v>5016</v>
      </c>
      <c r="G53" s="539">
        <v>0</v>
      </c>
      <c r="H53" s="158">
        <f t="shared" si="3"/>
        <v>3762</v>
      </c>
      <c r="I53" s="158">
        <f t="shared" si="4"/>
        <v>15048</v>
      </c>
      <c r="K53" s="189"/>
    </row>
    <row r="54" spans="1:16" ht="13" customHeight="1" x14ac:dyDescent="0.3">
      <c r="A54" s="537" t="str">
        <f t="shared" si="5"/>
        <v>Système d'information voyageur 2024 - Site internet et investissements associés</v>
      </c>
      <c r="B54" s="536"/>
      <c r="C54" s="534"/>
      <c r="D54" s="538">
        <v>74300</v>
      </c>
      <c r="E54" s="538">
        <v>74300</v>
      </c>
      <c r="F54" s="538">
        <v>74300</v>
      </c>
      <c r="G54" s="539">
        <v>0</v>
      </c>
      <c r="H54" s="158">
        <f t="shared" si="3"/>
        <v>55725</v>
      </c>
      <c r="I54" s="158">
        <f t="shared" si="4"/>
        <v>222900</v>
      </c>
      <c r="K54" s="189"/>
    </row>
    <row r="55" spans="1:16" ht="13" customHeight="1" x14ac:dyDescent="0.3">
      <c r="A55" s="537" t="str">
        <f t="shared" si="5"/>
        <v>Système d'information voyageur 2025 - Site internet et investissements associés</v>
      </c>
      <c r="B55" s="536"/>
      <c r="C55" s="534"/>
      <c r="D55" s="538">
        <v>17200</v>
      </c>
      <c r="E55" s="538">
        <v>17200</v>
      </c>
      <c r="F55" s="538">
        <v>17200</v>
      </c>
      <c r="G55" s="539">
        <v>17200</v>
      </c>
      <c r="H55" s="158">
        <f t="shared" si="3"/>
        <v>17200</v>
      </c>
      <c r="I55" s="158">
        <f t="shared" si="4"/>
        <v>68800</v>
      </c>
      <c r="K55" s="189"/>
    </row>
    <row r="56" spans="1:16" ht="13" customHeight="1" x14ac:dyDescent="0.3">
      <c r="A56" s="537" t="str">
        <f t="shared" si="5"/>
        <v>Véhicule utilitaire Vélos</v>
      </c>
      <c r="B56" s="536"/>
      <c r="C56" s="534"/>
      <c r="D56" s="538">
        <v>6400</v>
      </c>
      <c r="E56" s="538">
        <v>6400</v>
      </c>
      <c r="F56" s="538">
        <v>6400</v>
      </c>
      <c r="G56" s="539">
        <v>0</v>
      </c>
      <c r="H56" s="158">
        <f t="shared" si="3"/>
        <v>4800</v>
      </c>
      <c r="I56" s="158">
        <f t="shared" si="4"/>
        <v>19200</v>
      </c>
      <c r="K56" s="189"/>
    </row>
    <row r="57" spans="1:16" ht="13" customHeight="1" x14ac:dyDescent="0.3">
      <c r="A57" s="537" t="str">
        <f t="shared" si="5"/>
        <v>Batteries VAE (30) et trottinettes (5)</v>
      </c>
      <c r="B57" s="536"/>
      <c r="C57" s="534"/>
      <c r="D57" s="538">
        <v>3300</v>
      </c>
      <c r="E57" s="538">
        <v>3300</v>
      </c>
      <c r="F57" s="538">
        <v>3300</v>
      </c>
      <c r="G57" s="539">
        <v>3300</v>
      </c>
      <c r="H57" s="158">
        <f t="shared" si="3"/>
        <v>3300</v>
      </c>
      <c r="I57" s="158">
        <f t="shared" si="4"/>
        <v>13200</v>
      </c>
      <c r="K57" s="189"/>
    </row>
    <row r="58" spans="1:16" ht="13" customHeight="1" x14ac:dyDescent="0.3">
      <c r="A58" s="537" t="str">
        <f t="shared" si="5"/>
        <v>Batteries VAE (30) et trottinettes (5)</v>
      </c>
      <c r="B58" s="536"/>
      <c r="C58" s="534"/>
      <c r="D58" s="538">
        <v>0</v>
      </c>
      <c r="E58" s="538">
        <v>3300</v>
      </c>
      <c r="F58" s="538">
        <v>3300</v>
      </c>
      <c r="G58" s="539">
        <v>3300</v>
      </c>
      <c r="H58" s="158">
        <f t="shared" si="3"/>
        <v>2475</v>
      </c>
      <c r="I58" s="158">
        <f t="shared" si="4"/>
        <v>9900</v>
      </c>
      <c r="K58" s="189"/>
    </row>
    <row r="59" spans="1:16" ht="13" customHeight="1" x14ac:dyDescent="0.3">
      <c r="A59" s="537"/>
      <c r="B59" s="536"/>
      <c r="C59" s="534"/>
      <c r="D59" s="538"/>
      <c r="E59" s="538"/>
      <c r="F59" s="538"/>
      <c r="G59" s="539"/>
      <c r="H59" s="158">
        <f t="shared" si="3"/>
        <v>0</v>
      </c>
      <c r="I59" s="158">
        <f t="shared" si="4"/>
        <v>0</v>
      </c>
      <c r="K59" s="189"/>
    </row>
    <row r="60" spans="1:16" ht="13" customHeight="1" x14ac:dyDescent="0.3">
      <c r="A60" s="537"/>
      <c r="B60" s="536"/>
      <c r="C60" s="534"/>
      <c r="D60" s="538"/>
      <c r="E60" s="538"/>
      <c r="F60" s="538"/>
      <c r="G60" s="539"/>
      <c r="H60" s="158">
        <f t="shared" si="3"/>
        <v>0</v>
      </c>
      <c r="I60" s="158">
        <f t="shared" si="4"/>
        <v>0</v>
      </c>
      <c r="K60" s="189"/>
    </row>
    <row r="61" spans="1:16" s="103" customFormat="1" x14ac:dyDescent="0.3">
      <c r="A61" s="18" t="s">
        <v>371</v>
      </c>
      <c r="B61" s="34"/>
      <c r="C61" s="479"/>
      <c r="D61" s="19">
        <f>SUM(D35:D60)</f>
        <v>294613.44444444444</v>
      </c>
      <c r="E61" s="19">
        <f>SUM(E35:E60)</f>
        <v>332913.44444444444</v>
      </c>
      <c r="F61" s="19">
        <f>SUM(F35:F60)</f>
        <v>353913.44444444444</v>
      </c>
      <c r="G61" s="35">
        <f>SUM(G35:G60)</f>
        <v>205013.84444444446</v>
      </c>
      <c r="H61" s="35">
        <f>IFERROR(AVERAGE(C61:G61),0)</f>
        <v>296613.54444444441</v>
      </c>
      <c r="I61" s="209">
        <f t="shared" si="1"/>
        <v>1186454.1777777777</v>
      </c>
      <c r="K61" s="190" t="s">
        <v>302</v>
      </c>
      <c r="M61" s="276"/>
      <c r="N61" s="276"/>
      <c r="O61" s="276"/>
      <c r="P61" s="276"/>
    </row>
    <row r="62" spans="1:16" x14ac:dyDescent="0.35">
      <c r="E62" s="107"/>
    </row>
    <row r="63" spans="1:16" x14ac:dyDescent="0.35">
      <c r="E63" s="107"/>
    </row>
    <row r="64" spans="1:16" x14ac:dyDescent="0.35">
      <c r="E64" s="107"/>
    </row>
    <row r="65" spans="5:5" x14ac:dyDescent="0.35">
      <c r="E65" s="107"/>
    </row>
    <row r="66" spans="5:5" x14ac:dyDescent="0.35">
      <c r="E66" s="107"/>
    </row>
    <row r="67" spans="5:5" x14ac:dyDescent="0.35">
      <c r="E67" s="107"/>
    </row>
  </sheetData>
  <mergeCells count="9">
    <mergeCell ref="A1:I1"/>
    <mergeCell ref="K33:K34"/>
    <mergeCell ref="A33:A34"/>
    <mergeCell ref="B33:B34"/>
    <mergeCell ref="A3:A4"/>
    <mergeCell ref="D3:D4"/>
    <mergeCell ref="B3:B4"/>
    <mergeCell ref="E3:E4"/>
    <mergeCell ref="C3:C4"/>
  </mergeCells>
  <printOptions horizontalCentered="1"/>
  <pageMargins left="0.70866141732283472" right="0.70866141732283472" top="0.74803149606299213" bottom="0.74803149606299213" header="0.31496062992125984" footer="0.31496062992125984"/>
  <pageSetup paperSize="9" scale="63" orientation="landscape" r:id="rId1"/>
  <headerFooter>
    <oddHeader>&amp;L&amp;F&amp;R&amp;A</oddHeader>
    <oddFooter>&amp;L&amp;D&amp;C&amp;P/&amp;N&amp;R&amp;T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8"/>
    <pageSetUpPr fitToPage="1"/>
  </sheetPr>
  <dimension ref="A1:R19"/>
  <sheetViews>
    <sheetView showGridLines="0" view="pageBreakPreview" zoomScale="85" zoomScaleNormal="100" zoomScaleSheetLayoutView="85" workbookViewId="0">
      <selection sqref="A1:I1"/>
    </sheetView>
  </sheetViews>
  <sheetFormatPr baseColWidth="10" defaultColWidth="10.26953125" defaultRowHeight="16.399999999999999" customHeight="1" x14ac:dyDescent="0.35"/>
  <cols>
    <col min="1" max="1" width="27.1796875" style="95" customWidth="1"/>
    <col min="2" max="2" width="9.453125" style="99" customWidth="1"/>
    <col min="3" max="3" width="10.54296875" style="99" customWidth="1"/>
    <col min="4" max="9" width="10.54296875" style="95" customWidth="1"/>
    <col min="10" max="10" width="6.7265625" style="95" customWidth="1"/>
    <col min="11" max="16384" width="10.26953125" style="95"/>
  </cols>
  <sheetData>
    <row r="1" spans="1:18" s="97" customFormat="1" ht="32.15" customHeight="1" x14ac:dyDescent="0.35">
      <c r="A1" s="688" t="s">
        <v>373</v>
      </c>
      <c r="B1" s="689"/>
      <c r="C1" s="689"/>
      <c r="D1" s="689"/>
      <c r="E1" s="689"/>
      <c r="F1" s="689"/>
      <c r="G1" s="689"/>
      <c r="H1" s="689"/>
      <c r="I1" s="690"/>
    </row>
    <row r="2" spans="1:18" ht="16.399999999999999" customHeight="1" x14ac:dyDescent="0.3">
      <c r="A2" s="98"/>
      <c r="B2" s="98"/>
      <c r="C2" s="98"/>
      <c r="D2" s="98"/>
      <c r="E2" s="98"/>
      <c r="F2" s="98"/>
      <c r="G2" s="98"/>
      <c r="H2" s="98"/>
    </row>
    <row r="3" spans="1:18" ht="16.399999999999999" customHeight="1" x14ac:dyDescent="0.35">
      <c r="A3" s="114"/>
      <c r="B3" s="113"/>
      <c r="C3" s="113"/>
      <c r="D3" s="113"/>
      <c r="E3" s="113"/>
    </row>
    <row r="4" spans="1:18" ht="26.5" customHeight="1" x14ac:dyDescent="0.35">
      <c r="A4" s="666" t="s">
        <v>206</v>
      </c>
      <c r="B4" s="655"/>
      <c r="C4" s="3" t="str">
        <f>Annee0</f>
        <v>Année 0</v>
      </c>
      <c r="D4" s="3" t="str">
        <f>Annee1</f>
        <v>Année 1</v>
      </c>
      <c r="E4" s="3" t="str">
        <f>Annee2</f>
        <v>Année 2</v>
      </c>
      <c r="F4" s="516" t="str">
        <f>Annee3</f>
        <v>Année 3</v>
      </c>
      <c r="G4" s="541" t="str">
        <f>Annee4</f>
        <v>Année 4</v>
      </c>
      <c r="H4" s="181" t="s">
        <v>256</v>
      </c>
      <c r="I4" s="4" t="s">
        <v>59</v>
      </c>
      <c r="K4" s="661" t="s">
        <v>290</v>
      </c>
    </row>
    <row r="5" spans="1:18" ht="13" x14ac:dyDescent="0.35">
      <c r="A5" s="669"/>
      <c r="B5" s="656"/>
      <c r="C5" s="77">
        <v>12</v>
      </c>
      <c r="D5" s="77">
        <v>12</v>
      </c>
      <c r="E5" s="77">
        <v>12</v>
      </c>
      <c r="F5" s="77">
        <v>12</v>
      </c>
      <c r="G5" s="183">
        <v>12</v>
      </c>
      <c r="H5" s="78">
        <f t="shared" ref="H5:H16" si="0">IFERROR(AVERAGE(C5:G5),0)</f>
        <v>12</v>
      </c>
      <c r="I5" s="78">
        <f t="shared" ref="I5:I16" si="1">SUM(C5:G5)</f>
        <v>60</v>
      </c>
      <c r="K5" s="662"/>
    </row>
    <row r="6" spans="1:18" ht="13" x14ac:dyDescent="0.3">
      <c r="A6" s="399" t="s">
        <v>481</v>
      </c>
      <c r="B6" s="108"/>
      <c r="C6" s="477"/>
      <c r="D6" s="407">
        <v>370000</v>
      </c>
      <c r="E6" s="407">
        <v>370000</v>
      </c>
      <c r="F6" s="542">
        <v>370000</v>
      </c>
      <c r="G6" s="408">
        <v>370000</v>
      </c>
      <c r="H6" s="158">
        <f t="shared" si="0"/>
        <v>370000</v>
      </c>
      <c r="I6" s="158">
        <f t="shared" si="1"/>
        <v>1480000</v>
      </c>
      <c r="K6" s="188"/>
    </row>
    <row r="7" spans="1:18" ht="13" x14ac:dyDescent="0.3">
      <c r="A7" s="399"/>
      <c r="B7" s="108"/>
      <c r="C7" s="477"/>
      <c r="D7" s="409"/>
      <c r="E7" s="409"/>
      <c r="F7" s="542"/>
      <c r="G7" s="408"/>
      <c r="H7" s="158">
        <f t="shared" si="0"/>
        <v>0</v>
      </c>
      <c r="I7" s="158">
        <f t="shared" si="1"/>
        <v>0</v>
      </c>
      <c r="K7" s="189"/>
    </row>
    <row r="8" spans="1:18" s="103" customFormat="1" ht="13" x14ac:dyDescent="0.3">
      <c r="A8" s="399"/>
      <c r="B8" s="108"/>
      <c r="C8" s="477"/>
      <c r="D8" s="409"/>
      <c r="E8" s="409"/>
      <c r="F8" s="542"/>
      <c r="G8" s="408"/>
      <c r="H8" s="158">
        <f t="shared" si="0"/>
        <v>0</v>
      </c>
      <c r="I8" s="158">
        <f t="shared" si="1"/>
        <v>0</v>
      </c>
      <c r="K8" s="189"/>
      <c r="O8" s="95"/>
      <c r="P8" s="95"/>
      <c r="Q8" s="95"/>
      <c r="R8" s="95"/>
    </row>
    <row r="9" spans="1:18" ht="13" x14ac:dyDescent="0.3">
      <c r="A9" s="399"/>
      <c r="B9" s="108"/>
      <c r="C9" s="477"/>
      <c r="D9" s="409"/>
      <c r="E9" s="409"/>
      <c r="F9" s="542"/>
      <c r="G9" s="408"/>
      <c r="H9" s="158">
        <f t="shared" si="0"/>
        <v>0</v>
      </c>
      <c r="I9" s="158">
        <f t="shared" si="1"/>
        <v>0</v>
      </c>
      <c r="K9" s="189"/>
    </row>
    <row r="10" spans="1:18" ht="13" x14ac:dyDescent="0.3">
      <c r="A10" s="399"/>
      <c r="B10" s="108"/>
      <c r="C10" s="477"/>
      <c r="D10" s="409"/>
      <c r="E10" s="409"/>
      <c r="F10" s="542"/>
      <c r="G10" s="408"/>
      <c r="H10" s="158">
        <f t="shared" si="0"/>
        <v>0</v>
      </c>
      <c r="I10" s="158">
        <f t="shared" si="1"/>
        <v>0</v>
      </c>
      <c r="K10" s="189"/>
    </row>
    <row r="11" spans="1:18" ht="13" x14ac:dyDescent="0.3">
      <c r="A11" s="399"/>
      <c r="B11" s="108"/>
      <c r="C11" s="477"/>
      <c r="D11" s="409"/>
      <c r="E11" s="409"/>
      <c r="F11" s="542"/>
      <c r="G11" s="408"/>
      <c r="H11" s="158">
        <f t="shared" si="0"/>
        <v>0</v>
      </c>
      <c r="I11" s="158">
        <f t="shared" si="1"/>
        <v>0</v>
      </c>
      <c r="K11" s="189"/>
    </row>
    <row r="12" spans="1:18" ht="13" x14ac:dyDescent="0.3">
      <c r="A12" s="399"/>
      <c r="B12" s="108"/>
      <c r="C12" s="477"/>
      <c r="D12" s="409"/>
      <c r="E12" s="409"/>
      <c r="F12" s="542"/>
      <c r="G12" s="408"/>
      <c r="H12" s="158">
        <f t="shared" si="0"/>
        <v>0</v>
      </c>
      <c r="I12" s="158">
        <f t="shared" si="1"/>
        <v>0</v>
      </c>
      <c r="K12" s="189"/>
    </row>
    <row r="13" spans="1:18" ht="13" x14ac:dyDescent="0.3">
      <c r="A13" s="399"/>
      <c r="B13" s="108"/>
      <c r="C13" s="477"/>
      <c r="D13" s="409"/>
      <c r="E13" s="409"/>
      <c r="F13" s="542"/>
      <c r="G13" s="408"/>
      <c r="H13" s="158">
        <f t="shared" si="0"/>
        <v>0</v>
      </c>
      <c r="I13" s="158">
        <f t="shared" si="1"/>
        <v>0</v>
      </c>
      <c r="K13" s="189"/>
    </row>
    <row r="14" spans="1:18" ht="13" x14ac:dyDescent="0.3">
      <c r="A14" s="399"/>
      <c r="B14" s="108"/>
      <c r="C14" s="477"/>
      <c r="D14" s="409"/>
      <c r="E14" s="410"/>
      <c r="F14" s="543"/>
      <c r="G14" s="411"/>
      <c r="H14" s="158">
        <f t="shared" si="0"/>
        <v>0</v>
      </c>
      <c r="I14" s="158">
        <f t="shared" si="1"/>
        <v>0</v>
      </c>
      <c r="K14" s="189"/>
    </row>
    <row r="15" spans="1:18" ht="13" x14ac:dyDescent="0.3">
      <c r="A15" s="399"/>
      <c r="B15" s="108"/>
      <c r="C15" s="477"/>
      <c r="D15" s="409"/>
      <c r="E15" s="410"/>
      <c r="F15" s="543"/>
      <c r="G15" s="411"/>
      <c r="H15" s="158">
        <f t="shared" si="0"/>
        <v>0</v>
      </c>
      <c r="I15" s="158">
        <f t="shared" si="1"/>
        <v>0</v>
      </c>
      <c r="K15" s="189"/>
    </row>
    <row r="16" spans="1:18" ht="13" x14ac:dyDescent="0.3">
      <c r="A16" s="412" t="s">
        <v>372</v>
      </c>
      <c r="B16" s="401"/>
      <c r="C16" s="478"/>
      <c r="D16" s="413">
        <f t="shared" ref="D16:G16" si="2">SUM(D6:D15)</f>
        <v>370000</v>
      </c>
      <c r="E16" s="413">
        <f t="shared" si="2"/>
        <v>370000</v>
      </c>
      <c r="F16" s="413">
        <f t="shared" ref="F16" si="3">SUM(F6:F15)</f>
        <v>370000</v>
      </c>
      <c r="G16" s="414">
        <f t="shared" si="2"/>
        <v>370000</v>
      </c>
      <c r="H16" s="414">
        <f t="shared" si="0"/>
        <v>370000</v>
      </c>
      <c r="I16" s="414">
        <f t="shared" si="1"/>
        <v>1480000</v>
      </c>
      <c r="K16" s="190"/>
    </row>
    <row r="17" spans="1:5" ht="16.399999999999999" customHeight="1" x14ac:dyDescent="0.35">
      <c r="A17" s="113"/>
      <c r="B17" s="113"/>
      <c r="C17" s="113"/>
      <c r="D17" s="113"/>
      <c r="E17" s="113"/>
    </row>
    <row r="18" spans="1:5" ht="16.399999999999999" customHeight="1" x14ac:dyDescent="0.35">
      <c r="A18" s="113"/>
      <c r="B18" s="113"/>
      <c r="C18" s="113"/>
      <c r="D18" s="113"/>
      <c r="E18" s="113"/>
    </row>
    <row r="19" spans="1:5" ht="16.399999999999999" customHeight="1" x14ac:dyDescent="0.35">
      <c r="A19" s="113"/>
      <c r="B19" s="113"/>
      <c r="C19" s="113"/>
      <c r="D19" s="113"/>
      <c r="E19" s="113"/>
    </row>
  </sheetData>
  <mergeCells count="4">
    <mergeCell ref="A4:A5"/>
    <mergeCell ref="B4:B5"/>
    <mergeCell ref="A1:I1"/>
    <mergeCell ref="K4:K5"/>
  </mergeCells>
  <printOptions horizontalCentered="1"/>
  <pageMargins left="0.70866141732283472" right="0.70866141732283472" top="0.74803149606299213" bottom="0.74803149606299213" header="0.31496062992125984" footer="0.31496062992125984"/>
  <pageSetup paperSize="9" orientation="landscape" r:id="rId1"/>
  <headerFooter>
    <oddHeader>&amp;L&amp;F&amp;R&amp;A</oddHeader>
    <oddFooter>&amp;L&amp;D&amp;C&amp;P/&amp;N&amp;R&amp;T</oddFooter>
  </headerFooter>
  <ignoredErrors>
    <ignoredError sqref="D16:E16 G16"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8"/>
    <pageSetUpPr fitToPage="1"/>
  </sheetPr>
  <dimension ref="A1:CE39"/>
  <sheetViews>
    <sheetView showGridLines="0" view="pageBreakPreview" zoomScale="85" zoomScaleNormal="100" zoomScaleSheetLayoutView="85" workbookViewId="0">
      <selection sqref="A1:B1"/>
    </sheetView>
  </sheetViews>
  <sheetFormatPr baseColWidth="10" defaultColWidth="11.453125" defaultRowHeight="14.5" x14ac:dyDescent="0.35"/>
  <cols>
    <col min="1" max="1" width="33.7265625" style="29" customWidth="1"/>
    <col min="2" max="2" width="8" style="11" customWidth="1"/>
    <col min="3" max="3" width="14.1796875" style="11" bestFit="1" customWidth="1"/>
    <col min="4" max="4" width="14" style="11" bestFit="1" customWidth="1"/>
    <col min="5" max="5" width="14.81640625" style="11" bestFit="1" customWidth="1"/>
    <col min="6" max="6" width="14.81640625" style="11" customWidth="1"/>
    <col min="7" max="7" width="14.81640625" style="11" bestFit="1" customWidth="1"/>
    <col min="8" max="9" width="12.1796875" style="11" customWidth="1"/>
    <col min="10" max="10" width="6.7265625" customWidth="1"/>
    <col min="11" max="11" width="14.1796875" style="11" bestFit="1" customWidth="1"/>
    <col min="12" max="12" width="14" style="11" bestFit="1" customWidth="1"/>
    <col min="13" max="13" width="14.81640625" style="11" bestFit="1" customWidth="1"/>
    <col min="14" max="14" width="14.81640625" style="11" customWidth="1"/>
    <col min="15" max="15" width="14.81640625" style="11" bestFit="1" customWidth="1"/>
    <col min="16" max="17" width="12.1796875" style="11" customWidth="1"/>
    <col min="18" max="18" width="6.7265625" customWidth="1"/>
    <col min="19" max="19" width="14.1796875" style="11" bestFit="1" customWidth="1"/>
    <col min="20" max="20" width="14" style="11" bestFit="1" customWidth="1"/>
    <col min="21" max="21" width="14.81640625" style="11" bestFit="1" customWidth="1"/>
    <col min="22" max="22" width="14.81640625" style="11" customWidth="1"/>
    <col min="23" max="23" width="14.81640625" style="11" bestFit="1" customWidth="1"/>
    <col min="24" max="25" width="12.1796875" style="11" customWidth="1"/>
    <col min="26" max="26" width="6.7265625" customWidth="1"/>
    <col min="27" max="27" width="14.1796875" style="11" bestFit="1" customWidth="1"/>
    <col min="28" max="28" width="14" style="11" bestFit="1" customWidth="1"/>
    <col min="29" max="29" width="14.81640625" style="11" bestFit="1" customWidth="1"/>
    <col min="30" max="30" width="14.81640625" style="11" customWidth="1"/>
    <col min="31" max="31" width="14.81640625" style="11" bestFit="1" customWidth="1"/>
    <col min="32" max="33" width="12.1796875" style="11" customWidth="1"/>
    <col min="34" max="34" width="6.7265625" customWidth="1"/>
    <col min="35" max="35" width="14.1796875" style="11" bestFit="1" customWidth="1"/>
    <col min="36" max="36" width="14" style="11" bestFit="1" customWidth="1"/>
    <col min="37" max="37" width="14.81640625" style="11" bestFit="1" customWidth="1"/>
    <col min="38" max="38" width="14.81640625" style="11" customWidth="1"/>
    <col min="39" max="39" width="14.81640625" style="11" bestFit="1" customWidth="1"/>
    <col min="40" max="41" width="12.1796875" style="11" customWidth="1"/>
    <col min="42" max="42" width="6.7265625" customWidth="1"/>
    <col min="43" max="43" width="14.1796875" style="11" bestFit="1" customWidth="1"/>
    <col min="44" max="44" width="14" style="11" bestFit="1" customWidth="1"/>
    <col min="45" max="45" width="14.81640625" style="11" bestFit="1" customWidth="1"/>
    <col min="46" max="46" width="14.81640625" style="11" customWidth="1"/>
    <col min="47" max="47" width="14.81640625" style="11" bestFit="1" customWidth="1"/>
    <col min="48" max="49" width="12.1796875" style="11" customWidth="1"/>
    <col min="50" max="50" width="6.7265625" customWidth="1"/>
    <col min="51" max="51" width="14.1796875" style="11" bestFit="1" customWidth="1"/>
    <col min="52" max="52" width="14" style="11" bestFit="1" customWidth="1"/>
    <col min="53" max="53" width="14.81640625" style="11" bestFit="1" customWidth="1"/>
    <col min="54" max="54" width="14.81640625" style="11" customWidth="1"/>
    <col min="55" max="55" width="14.81640625" style="11" bestFit="1" customWidth="1"/>
    <col min="56" max="57" width="12.1796875" style="11" customWidth="1"/>
    <col min="58" max="58" width="6.7265625" customWidth="1"/>
    <col min="59" max="59" width="14.1796875" style="11" bestFit="1" customWidth="1"/>
    <col min="60" max="60" width="14" style="11" bestFit="1" customWidth="1"/>
    <col min="61" max="61" width="14.81640625" style="11" bestFit="1" customWidth="1"/>
    <col min="62" max="62" width="14.81640625" style="11" customWidth="1"/>
    <col min="63" max="63" width="14.81640625" style="11" bestFit="1" customWidth="1"/>
    <col min="64" max="65" width="12.1796875" style="11" customWidth="1"/>
    <col min="66" max="66" width="6.7265625" customWidth="1"/>
    <col min="67" max="67" width="27.81640625" bestFit="1" customWidth="1"/>
    <col min="68" max="74" width="15.26953125" style="279" bestFit="1" customWidth="1"/>
    <col min="75" max="75" width="13.1796875" style="278" bestFit="1" customWidth="1"/>
    <col min="76" max="76" width="8.7265625" style="278" bestFit="1" customWidth="1"/>
    <col min="77" max="83" width="11.453125" style="278"/>
  </cols>
  <sheetData>
    <row r="1" spans="1:67" ht="24.75" customHeight="1" x14ac:dyDescent="0.35">
      <c r="A1" s="658" t="s">
        <v>439</v>
      </c>
      <c r="B1" s="659"/>
      <c r="C1" s="664" t="s">
        <v>434</v>
      </c>
      <c r="D1" s="664"/>
      <c r="E1" s="664"/>
      <c r="F1" s="664"/>
      <c r="G1" s="664"/>
      <c r="H1" s="664"/>
      <c r="I1" s="665"/>
      <c r="K1" s="675" t="s">
        <v>435</v>
      </c>
      <c r="L1" s="664"/>
      <c r="M1" s="664"/>
      <c r="N1" s="664"/>
      <c r="O1" s="664"/>
      <c r="P1" s="664"/>
      <c r="Q1" s="665"/>
      <c r="S1" s="675" t="s">
        <v>436</v>
      </c>
      <c r="T1" s="664"/>
      <c r="U1" s="664"/>
      <c r="V1" s="664"/>
      <c r="W1" s="664"/>
      <c r="X1" s="664"/>
      <c r="Y1" s="665"/>
      <c r="AA1" s="675" t="s">
        <v>437</v>
      </c>
      <c r="AB1" s="664"/>
      <c r="AC1" s="664"/>
      <c r="AD1" s="664"/>
      <c r="AE1" s="664"/>
      <c r="AF1" s="664"/>
      <c r="AG1" s="665"/>
      <c r="AI1" s="675" t="s">
        <v>438</v>
      </c>
      <c r="AJ1" s="664"/>
      <c r="AK1" s="664"/>
      <c r="AL1" s="664"/>
      <c r="AM1" s="664"/>
      <c r="AN1" s="664"/>
      <c r="AO1" s="665"/>
      <c r="AQ1" s="675" t="s">
        <v>478</v>
      </c>
      <c r="AR1" s="664"/>
      <c r="AS1" s="664"/>
      <c r="AT1" s="664"/>
      <c r="AU1" s="664"/>
      <c r="AV1" s="664"/>
      <c r="AW1" s="665"/>
      <c r="AY1" s="675" t="s">
        <v>477</v>
      </c>
      <c r="AZ1" s="664"/>
      <c r="BA1" s="664"/>
      <c r="BB1" s="664"/>
      <c r="BC1" s="664"/>
      <c r="BD1" s="664"/>
      <c r="BE1" s="665"/>
      <c r="BG1" s="675" t="s">
        <v>479</v>
      </c>
      <c r="BH1" s="664"/>
      <c r="BI1" s="664"/>
      <c r="BJ1" s="664"/>
      <c r="BK1" s="664"/>
      <c r="BL1" s="664"/>
      <c r="BM1" s="665"/>
    </row>
    <row r="2" spans="1:67" x14ac:dyDescent="0.35">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row>
    <row r="3" spans="1:67" x14ac:dyDescent="0.35">
      <c r="A3" s="42" t="s">
        <v>69</v>
      </c>
      <c r="B3" s="43"/>
      <c r="C3" s="44"/>
      <c r="D3" s="44"/>
      <c r="E3" s="44"/>
      <c r="F3" s="44"/>
      <c r="G3" s="44"/>
      <c r="H3" s="44"/>
      <c r="I3" s="44"/>
      <c r="K3" s="44"/>
      <c r="L3" s="44"/>
      <c r="M3" s="44"/>
      <c r="N3" s="44"/>
      <c r="O3" s="44"/>
      <c r="P3" s="44"/>
      <c r="Q3" s="44"/>
      <c r="S3" s="44"/>
      <c r="T3" s="44"/>
      <c r="U3" s="44"/>
      <c r="V3" s="44"/>
      <c r="W3" s="44"/>
      <c r="X3" s="44"/>
      <c r="Y3" s="44"/>
      <c r="AA3" s="44"/>
      <c r="AB3" s="44"/>
      <c r="AC3" s="44"/>
      <c r="AD3" s="44"/>
      <c r="AE3" s="44"/>
      <c r="AF3" s="44"/>
      <c r="AG3" s="44"/>
      <c r="AI3" s="44"/>
      <c r="AJ3" s="44"/>
      <c r="AK3" s="44"/>
      <c r="AL3" s="44"/>
      <c r="AM3" s="44"/>
      <c r="AN3" s="44"/>
      <c r="AO3" s="44"/>
      <c r="AQ3" s="44"/>
      <c r="AR3" s="44"/>
      <c r="AS3" s="44"/>
      <c r="AT3" s="44"/>
      <c r="AU3" s="44"/>
      <c r="AV3" s="44"/>
      <c r="AW3" s="44"/>
      <c r="AY3" s="44"/>
      <c r="AZ3" s="44"/>
      <c r="BA3" s="44"/>
      <c r="BB3" s="44"/>
      <c r="BC3" s="44"/>
      <c r="BD3" s="44"/>
      <c r="BE3" s="44"/>
      <c r="BG3" s="44"/>
      <c r="BH3" s="44"/>
      <c r="BI3" s="44"/>
      <c r="BJ3" s="44"/>
      <c r="BK3" s="44"/>
      <c r="BL3" s="44"/>
      <c r="BM3" s="44"/>
    </row>
    <row r="4" spans="1:67" x14ac:dyDescent="0.35">
      <c r="A4"/>
      <c r="B4"/>
      <c r="C4"/>
      <c r="D4"/>
      <c r="E4"/>
      <c r="F4"/>
      <c r="G4"/>
      <c r="H4"/>
      <c r="I4"/>
      <c r="K4"/>
      <c r="L4"/>
      <c r="M4"/>
      <c r="N4"/>
      <c r="O4"/>
      <c r="P4"/>
      <c r="Q4"/>
      <c r="S4"/>
      <c r="T4" s="607">
        <f>T7+$T$3</f>
        <v>1226288.2048893152</v>
      </c>
      <c r="U4" s="607">
        <f>U7+$T$3</f>
        <v>1216367.4062000001</v>
      </c>
      <c r="V4" s="607">
        <f>V7+$T$3</f>
        <v>1216367.4062000001</v>
      </c>
      <c r="W4" s="607">
        <f>W7+$T$3</f>
        <v>1216367.4062000001</v>
      </c>
      <c r="X4"/>
      <c r="Y4"/>
      <c r="AA4"/>
      <c r="AB4"/>
      <c r="AC4"/>
      <c r="AD4"/>
      <c r="AE4"/>
      <c r="AF4"/>
      <c r="AG4"/>
      <c r="AI4"/>
      <c r="AJ4"/>
      <c r="AK4"/>
      <c r="AL4"/>
      <c r="AM4"/>
      <c r="AN4"/>
      <c r="AO4"/>
      <c r="AQ4"/>
      <c r="AR4"/>
      <c r="AS4"/>
      <c r="AT4"/>
      <c r="AU4"/>
      <c r="AV4"/>
      <c r="AW4"/>
      <c r="AY4"/>
      <c r="AZ4"/>
      <c r="BA4"/>
      <c r="BB4"/>
      <c r="BC4"/>
      <c r="BD4"/>
      <c r="BE4"/>
      <c r="BG4"/>
      <c r="BH4"/>
      <c r="BI4"/>
      <c r="BJ4"/>
      <c r="BK4"/>
      <c r="BL4"/>
      <c r="BM4"/>
    </row>
    <row r="5" spans="1:67" ht="24.65" customHeight="1" x14ac:dyDescent="0.35">
      <c r="A5" s="666" t="s">
        <v>103</v>
      </c>
      <c r="B5" s="655"/>
      <c r="C5" s="3" t="str">
        <f>Annee0</f>
        <v>Année 0</v>
      </c>
      <c r="D5" s="3" t="str">
        <f>Annee1</f>
        <v>Année 1</v>
      </c>
      <c r="E5" s="3" t="str">
        <f>Annee2</f>
        <v>Année 2</v>
      </c>
      <c r="F5" s="516" t="str">
        <f>Annee3</f>
        <v>Année 3</v>
      </c>
      <c r="G5" s="121" t="str">
        <f>Annee4</f>
        <v>Année 4</v>
      </c>
      <c r="H5" s="181" t="s">
        <v>256</v>
      </c>
      <c r="I5" s="4" t="s">
        <v>59</v>
      </c>
      <c r="K5" s="3" t="str">
        <f>Annee0</f>
        <v>Année 0</v>
      </c>
      <c r="L5" s="3" t="str">
        <f>Annee1</f>
        <v>Année 1</v>
      </c>
      <c r="M5" s="3" t="str">
        <f>Annee2</f>
        <v>Année 2</v>
      </c>
      <c r="N5" s="516" t="str">
        <f>Annee3</f>
        <v>Année 3</v>
      </c>
      <c r="O5" s="121" t="str">
        <f>Annee4</f>
        <v>Année 4</v>
      </c>
      <c r="P5" s="181" t="s">
        <v>256</v>
      </c>
      <c r="Q5" s="4" t="s">
        <v>59</v>
      </c>
      <c r="S5" s="3" t="str">
        <f>Annee0</f>
        <v>Année 0</v>
      </c>
      <c r="T5" s="3" t="str">
        <f>Annee1</f>
        <v>Année 1</v>
      </c>
      <c r="U5" s="3" t="str">
        <f>Annee2</f>
        <v>Année 2</v>
      </c>
      <c r="V5" s="516" t="str">
        <f>Annee3</f>
        <v>Année 3</v>
      </c>
      <c r="W5" s="121" t="str">
        <f>Annee4</f>
        <v>Année 4</v>
      </c>
      <c r="X5" s="181" t="s">
        <v>256</v>
      </c>
      <c r="Y5" s="4" t="s">
        <v>59</v>
      </c>
      <c r="AA5" s="3" t="str">
        <f>Annee0</f>
        <v>Année 0</v>
      </c>
      <c r="AB5" s="3" t="str">
        <f>Annee1</f>
        <v>Année 1</v>
      </c>
      <c r="AC5" s="3" t="str">
        <f>Annee2</f>
        <v>Année 2</v>
      </c>
      <c r="AD5" s="516" t="str">
        <f>Annee3</f>
        <v>Année 3</v>
      </c>
      <c r="AE5" s="121" t="str">
        <f>Annee4</f>
        <v>Année 4</v>
      </c>
      <c r="AF5" s="181" t="s">
        <v>256</v>
      </c>
      <c r="AG5" s="4" t="s">
        <v>59</v>
      </c>
      <c r="AI5" s="3" t="str">
        <f>Annee0</f>
        <v>Année 0</v>
      </c>
      <c r="AJ5" s="3" t="str">
        <f>Annee1</f>
        <v>Année 1</v>
      </c>
      <c r="AK5" s="3" t="str">
        <f>Annee2</f>
        <v>Année 2</v>
      </c>
      <c r="AL5" s="516" t="str">
        <f>Annee3</f>
        <v>Année 3</v>
      </c>
      <c r="AM5" s="121" t="str">
        <f>Annee4</f>
        <v>Année 4</v>
      </c>
      <c r="AN5" s="181" t="s">
        <v>256</v>
      </c>
      <c r="AO5" s="4" t="s">
        <v>59</v>
      </c>
      <c r="AQ5" s="3" t="str">
        <f>Annee0</f>
        <v>Année 0</v>
      </c>
      <c r="AR5" s="3" t="str">
        <f>Annee1</f>
        <v>Année 1</v>
      </c>
      <c r="AS5" s="3" t="str">
        <f>Annee2</f>
        <v>Année 2</v>
      </c>
      <c r="AT5" s="516" t="str">
        <f>Annee3</f>
        <v>Année 3</v>
      </c>
      <c r="AU5" s="121" t="str">
        <f>Annee4</f>
        <v>Année 4</v>
      </c>
      <c r="AV5" s="515" t="s">
        <v>256</v>
      </c>
      <c r="AW5" s="514" t="s">
        <v>59</v>
      </c>
      <c r="AY5" s="3" t="str">
        <f>Annee0</f>
        <v>Année 0</v>
      </c>
      <c r="AZ5" s="3" t="str">
        <f>Annee1</f>
        <v>Année 1</v>
      </c>
      <c r="BA5" s="3" t="str">
        <f>Annee2</f>
        <v>Année 2</v>
      </c>
      <c r="BB5" s="516" t="str">
        <f>Annee3</f>
        <v>Année 3</v>
      </c>
      <c r="BC5" s="121" t="str">
        <f>Annee4</f>
        <v>Année 4</v>
      </c>
      <c r="BD5" s="515" t="s">
        <v>256</v>
      </c>
      <c r="BE5" s="514" t="s">
        <v>59</v>
      </c>
      <c r="BG5" s="3" t="str">
        <f>Annee0</f>
        <v>Année 0</v>
      </c>
      <c r="BH5" s="3" t="str">
        <f>Annee1</f>
        <v>Année 1</v>
      </c>
      <c r="BI5" s="3" t="str">
        <f>Annee2</f>
        <v>Année 2</v>
      </c>
      <c r="BJ5" s="516" t="str">
        <f>Annee3</f>
        <v>Année 3</v>
      </c>
      <c r="BK5" s="121" t="str">
        <f>Annee4</f>
        <v>Année 4</v>
      </c>
      <c r="BL5" s="515" t="s">
        <v>256</v>
      </c>
      <c r="BM5" s="514" t="s">
        <v>59</v>
      </c>
      <c r="BO5" s="661" t="s">
        <v>290</v>
      </c>
    </row>
    <row r="6" spans="1:67" x14ac:dyDescent="0.35">
      <c r="A6" s="669"/>
      <c r="B6" s="656"/>
      <c r="C6" s="77">
        <v>12</v>
      </c>
      <c r="D6" s="77">
        <v>12</v>
      </c>
      <c r="E6" s="77">
        <v>12</v>
      </c>
      <c r="F6" s="77">
        <v>12</v>
      </c>
      <c r="G6" s="77">
        <v>12</v>
      </c>
      <c r="H6" s="78">
        <f t="shared" ref="H6:H16" si="0">IFERROR(AVERAGE(C6:G6),0)</f>
        <v>12</v>
      </c>
      <c r="I6" s="78">
        <f t="shared" ref="I6:I16" si="1">SUM(C6:G6)</f>
        <v>60</v>
      </c>
      <c r="K6" s="77">
        <v>12</v>
      </c>
      <c r="L6" s="77">
        <v>12</v>
      </c>
      <c r="M6" s="77">
        <v>12</v>
      </c>
      <c r="N6" s="77">
        <v>12</v>
      </c>
      <c r="O6" s="77">
        <v>12</v>
      </c>
      <c r="P6" s="78">
        <f t="shared" ref="P6:P16" si="2">IFERROR(AVERAGE(K6:O6),0)</f>
        <v>12</v>
      </c>
      <c r="Q6" s="78">
        <f t="shared" ref="Q6:Q16" si="3">SUM(K6:O6)</f>
        <v>60</v>
      </c>
      <c r="S6" s="77">
        <v>12</v>
      </c>
      <c r="T6" s="77">
        <v>12</v>
      </c>
      <c r="U6" s="77">
        <v>12</v>
      </c>
      <c r="V6" s="77">
        <v>12</v>
      </c>
      <c r="W6" s="77">
        <v>12</v>
      </c>
      <c r="X6" s="78">
        <f t="shared" ref="X6:X16" si="4">IFERROR(AVERAGE(S6:W6),0)</f>
        <v>12</v>
      </c>
      <c r="Y6" s="78">
        <f t="shared" ref="Y6:Y16" si="5">SUM(S6:W6)</f>
        <v>60</v>
      </c>
      <c r="AA6" s="77">
        <v>12</v>
      </c>
      <c r="AB6" s="77">
        <v>12</v>
      </c>
      <c r="AC6" s="77">
        <v>12</v>
      </c>
      <c r="AD6" s="77">
        <v>12</v>
      </c>
      <c r="AE6" s="77">
        <v>12</v>
      </c>
      <c r="AF6" s="78">
        <f t="shared" ref="AF6:AF16" si="6">IFERROR(AVERAGE(AA6:AE6),0)</f>
        <v>12</v>
      </c>
      <c r="AG6" s="78">
        <f t="shared" ref="AG6:AG16" si="7">SUM(AA6:AE6)</f>
        <v>60</v>
      </c>
      <c r="AI6" s="77">
        <v>12</v>
      </c>
      <c r="AJ6" s="77">
        <v>12</v>
      </c>
      <c r="AK6" s="77">
        <v>12</v>
      </c>
      <c r="AL6" s="77">
        <v>12</v>
      </c>
      <c r="AM6" s="77">
        <v>12</v>
      </c>
      <c r="AN6" s="78">
        <f t="shared" ref="AN6:AN16" si="8">IFERROR(AVERAGE(AI6:AM6),0)</f>
        <v>12</v>
      </c>
      <c r="AO6" s="78">
        <f t="shared" ref="AO6:AO16" si="9">SUM(AI6:AM6)</f>
        <v>60</v>
      </c>
      <c r="AQ6" s="77">
        <v>12</v>
      </c>
      <c r="AR6" s="77">
        <v>12</v>
      </c>
      <c r="AS6" s="77">
        <v>12</v>
      </c>
      <c r="AT6" s="77">
        <v>12</v>
      </c>
      <c r="AU6" s="77">
        <v>12</v>
      </c>
      <c r="AV6" s="78">
        <f t="shared" ref="AV6:AV16" si="10">IFERROR(AVERAGE(AQ6:AU6),0)</f>
        <v>12</v>
      </c>
      <c r="AW6" s="78">
        <f t="shared" ref="AW6:AW16" si="11">SUM(AQ6:AU6)</f>
        <v>60</v>
      </c>
      <c r="AY6" s="77">
        <v>12</v>
      </c>
      <c r="AZ6" s="77">
        <v>12</v>
      </c>
      <c r="BA6" s="77">
        <v>12</v>
      </c>
      <c r="BB6" s="77">
        <v>12</v>
      </c>
      <c r="BC6" s="77">
        <v>12</v>
      </c>
      <c r="BD6" s="78">
        <f t="shared" ref="BD6:BD16" si="12">IFERROR(AVERAGE(AY6:BC6),0)</f>
        <v>12</v>
      </c>
      <c r="BE6" s="78">
        <f t="shared" ref="BE6:BE16" si="13">SUM(AY6:BC6)</f>
        <v>60</v>
      </c>
      <c r="BG6" s="77">
        <v>12</v>
      </c>
      <c r="BH6" s="77">
        <v>12</v>
      </c>
      <c r="BI6" s="77">
        <v>12</v>
      </c>
      <c r="BJ6" s="77">
        <v>12</v>
      </c>
      <c r="BK6" s="77">
        <v>12</v>
      </c>
      <c r="BL6" s="78">
        <f t="shared" ref="BL6:BL16" si="14">IFERROR(AVERAGE(BG6:BK6),0)</f>
        <v>12</v>
      </c>
      <c r="BM6" s="78">
        <f t="shared" ref="BM6:BM16" si="15">SUM(BG6:BK6)</f>
        <v>60</v>
      </c>
      <c r="BO6" s="662"/>
    </row>
    <row r="7" spans="1:67" x14ac:dyDescent="0.35">
      <c r="A7" s="32" t="s">
        <v>401</v>
      </c>
      <c r="B7" s="218"/>
      <c r="C7" s="471"/>
      <c r="D7" s="317">
        <f>SUMIFS($K7:$BM7,$K$5:$BM$5,D$5)</f>
        <v>3955752.0871121134</v>
      </c>
      <c r="E7" s="415">
        <f t="shared" ref="E7:G16" si="16">SUMIFS($K7:$BM7,$K$5:$BM$5,E$5)</f>
        <v>3945831.2884227983</v>
      </c>
      <c r="F7" s="519">
        <f t="shared" si="16"/>
        <v>3945831.2884227983</v>
      </c>
      <c r="G7" s="416">
        <f t="shared" si="16"/>
        <v>3945831.2884227983</v>
      </c>
      <c r="H7" s="10">
        <f t="shared" si="0"/>
        <v>3948311.488095127</v>
      </c>
      <c r="I7" s="10">
        <f t="shared" si="1"/>
        <v>15793245.952380508</v>
      </c>
      <c r="K7" s="471"/>
      <c r="L7" s="317">
        <v>1406731.2443859645</v>
      </c>
      <c r="M7" s="415">
        <v>1406731.2443859645</v>
      </c>
      <c r="N7" s="519">
        <v>1406731.2443859645</v>
      </c>
      <c r="O7" s="416">
        <v>1406731.2443859645</v>
      </c>
      <c r="P7" s="10">
        <f t="shared" si="2"/>
        <v>1406731.2443859645</v>
      </c>
      <c r="Q7" s="10">
        <f t="shared" si="3"/>
        <v>5626924.9775438579</v>
      </c>
      <c r="S7" s="471"/>
      <c r="T7" s="317">
        <v>1226288.2048893152</v>
      </c>
      <c r="U7" s="415">
        <v>1216367.4062000001</v>
      </c>
      <c r="V7" s="519">
        <v>1216367.4062000001</v>
      </c>
      <c r="W7" s="416">
        <v>1216367.4062000001</v>
      </c>
      <c r="X7" s="10">
        <f t="shared" si="4"/>
        <v>1218847.6058723289</v>
      </c>
      <c r="Y7" s="10">
        <f t="shared" si="5"/>
        <v>4875390.4234893154</v>
      </c>
      <c r="AA7" s="471"/>
      <c r="AB7" s="317">
        <v>543999.68772413861</v>
      </c>
      <c r="AC7" s="415">
        <v>543999.68772413861</v>
      </c>
      <c r="AD7" s="519">
        <v>543999.68772413861</v>
      </c>
      <c r="AE7" s="416">
        <v>543999.68772413861</v>
      </c>
      <c r="AF7" s="10">
        <f t="shared" si="6"/>
        <v>543999.68772413861</v>
      </c>
      <c r="AG7" s="10">
        <f t="shared" si="7"/>
        <v>2175998.7508965544</v>
      </c>
      <c r="AI7" s="471"/>
      <c r="AJ7" s="317">
        <v>495652.72811269487</v>
      </c>
      <c r="AK7" s="415">
        <v>495652.72811269487</v>
      </c>
      <c r="AL7" s="519">
        <v>495652.72811269487</v>
      </c>
      <c r="AM7" s="416">
        <v>495652.72811269487</v>
      </c>
      <c r="AN7" s="10">
        <f t="shared" si="8"/>
        <v>495652.72811269487</v>
      </c>
      <c r="AO7" s="10">
        <f t="shared" si="9"/>
        <v>1982610.9124507795</v>
      </c>
      <c r="AQ7" s="471"/>
      <c r="AR7" s="317">
        <v>283080.22200000053</v>
      </c>
      <c r="AS7" s="415">
        <v>283080.22200000053</v>
      </c>
      <c r="AT7" s="519">
        <v>283080.22200000053</v>
      </c>
      <c r="AU7" s="416">
        <v>283080.22200000053</v>
      </c>
      <c r="AV7" s="10">
        <f t="shared" si="10"/>
        <v>283080.22200000053</v>
      </c>
      <c r="AW7" s="10">
        <f t="shared" si="11"/>
        <v>1132320.8880000021</v>
      </c>
      <c r="AY7" s="471"/>
      <c r="AZ7" s="317">
        <v>0</v>
      </c>
      <c r="BA7" s="415">
        <v>0</v>
      </c>
      <c r="BB7" s="519">
        <v>0</v>
      </c>
      <c r="BC7" s="416">
        <v>0</v>
      </c>
      <c r="BD7" s="10">
        <f t="shared" si="12"/>
        <v>0</v>
      </c>
      <c r="BE7" s="10">
        <f t="shared" si="13"/>
        <v>0</v>
      </c>
      <c r="BG7" s="471"/>
      <c r="BH7" s="317">
        <v>0</v>
      </c>
      <c r="BI7" s="415">
        <v>0</v>
      </c>
      <c r="BJ7" s="519">
        <v>0</v>
      </c>
      <c r="BK7" s="416">
        <v>0</v>
      </c>
      <c r="BL7" s="10">
        <f t="shared" si="14"/>
        <v>0</v>
      </c>
      <c r="BM7" s="10">
        <f t="shared" si="15"/>
        <v>0</v>
      </c>
      <c r="BO7" s="188"/>
    </row>
    <row r="8" spans="1:67" x14ac:dyDescent="0.35">
      <c r="A8" s="25" t="s">
        <v>375</v>
      </c>
      <c r="B8" s="76"/>
      <c r="C8" s="472"/>
      <c r="D8" s="312">
        <f t="shared" ref="D8:D16" si="17">SUMIFS($K8:$BM8,$K$5:$BM$5,D$5)</f>
        <v>78.688584474885914</v>
      </c>
      <c r="E8" s="361">
        <f t="shared" si="16"/>
        <v>78.022831050228376</v>
      </c>
      <c r="F8" s="361">
        <f t="shared" si="16"/>
        <v>78.022831050228348</v>
      </c>
      <c r="G8" s="362">
        <f t="shared" si="16"/>
        <v>78.022831050228334</v>
      </c>
      <c r="H8" s="14">
        <f t="shared" si="0"/>
        <v>78.189269406392739</v>
      </c>
      <c r="I8" s="14">
        <f t="shared" si="1"/>
        <v>312.75707762557096</v>
      </c>
      <c r="K8" s="472"/>
      <c r="L8" s="312">
        <v>27.009132420091305</v>
      </c>
      <c r="M8" s="361">
        <v>27.009132420091362</v>
      </c>
      <c r="N8" s="361">
        <v>27.009132420091348</v>
      </c>
      <c r="O8" s="362">
        <v>27.009132420091333</v>
      </c>
      <c r="P8" s="14">
        <f t="shared" si="2"/>
        <v>27.009132420091337</v>
      </c>
      <c r="Q8" s="14">
        <f t="shared" si="3"/>
        <v>108.03652968036535</v>
      </c>
      <c r="S8" s="472"/>
      <c r="T8" s="312">
        <v>24.172602739726116</v>
      </c>
      <c r="U8" s="361">
        <v>23.506849315068521</v>
      </c>
      <c r="V8" s="361">
        <v>23.506849315068507</v>
      </c>
      <c r="W8" s="362">
        <v>23.506849315068507</v>
      </c>
      <c r="X8" s="14">
        <f t="shared" si="4"/>
        <v>23.673287671232913</v>
      </c>
      <c r="Y8" s="14">
        <f t="shared" si="5"/>
        <v>94.693150684931652</v>
      </c>
      <c r="AA8" s="472"/>
      <c r="AB8" s="312">
        <v>12</v>
      </c>
      <c r="AC8" s="361">
        <v>12</v>
      </c>
      <c r="AD8" s="361">
        <v>12</v>
      </c>
      <c r="AE8" s="362">
        <v>12</v>
      </c>
      <c r="AF8" s="14">
        <f t="shared" si="6"/>
        <v>12</v>
      </c>
      <c r="AG8" s="14">
        <f t="shared" si="7"/>
        <v>48</v>
      </c>
      <c r="AI8" s="472"/>
      <c r="AJ8" s="312">
        <v>10.506849315068493</v>
      </c>
      <c r="AK8" s="361">
        <v>10.506849315068493</v>
      </c>
      <c r="AL8" s="361">
        <v>10.506849315068493</v>
      </c>
      <c r="AM8" s="362">
        <v>10.506849315068493</v>
      </c>
      <c r="AN8" s="14">
        <f t="shared" si="8"/>
        <v>10.506849315068493</v>
      </c>
      <c r="AO8" s="14">
        <f t="shared" si="9"/>
        <v>42.027397260273972</v>
      </c>
      <c r="AQ8" s="472"/>
      <c r="AR8" s="312">
        <v>4.9999999999999982</v>
      </c>
      <c r="AS8" s="361">
        <v>4.9999999999999982</v>
      </c>
      <c r="AT8" s="361">
        <v>4.9999999999999982</v>
      </c>
      <c r="AU8" s="362">
        <v>4.9999999999999982</v>
      </c>
      <c r="AV8" s="14">
        <f t="shared" si="10"/>
        <v>4.9999999999999982</v>
      </c>
      <c r="AW8" s="14">
        <f t="shared" si="11"/>
        <v>19.999999999999993</v>
      </c>
      <c r="AY8" s="472"/>
      <c r="AZ8" s="312">
        <v>0</v>
      </c>
      <c r="BA8" s="361">
        <v>0</v>
      </c>
      <c r="BB8" s="361">
        <v>0</v>
      </c>
      <c r="BC8" s="362">
        <v>0</v>
      </c>
      <c r="BD8" s="14">
        <f t="shared" si="12"/>
        <v>0</v>
      </c>
      <c r="BE8" s="14">
        <f t="shared" si="13"/>
        <v>0</v>
      </c>
      <c r="BG8" s="472"/>
      <c r="BH8" s="312">
        <v>0</v>
      </c>
      <c r="BI8" s="361">
        <v>0</v>
      </c>
      <c r="BJ8" s="361">
        <v>0</v>
      </c>
      <c r="BK8" s="362">
        <v>0</v>
      </c>
      <c r="BL8" s="14">
        <f t="shared" si="14"/>
        <v>0</v>
      </c>
      <c r="BM8" s="14">
        <f t="shared" si="15"/>
        <v>0</v>
      </c>
      <c r="BO8" s="189"/>
    </row>
    <row r="9" spans="1:67" x14ac:dyDescent="0.35">
      <c r="A9" s="25" t="s">
        <v>379</v>
      </c>
      <c r="B9" s="76"/>
      <c r="C9" s="472"/>
      <c r="D9" s="312">
        <f t="shared" si="17"/>
        <v>2293559.67499799</v>
      </c>
      <c r="E9" s="361">
        <f t="shared" si="16"/>
        <v>2303480.4736873051</v>
      </c>
      <c r="F9" s="361">
        <f t="shared" si="16"/>
        <v>2303480.4736873051</v>
      </c>
      <c r="G9" s="362">
        <f t="shared" si="16"/>
        <v>2303480.4736873051</v>
      </c>
      <c r="H9" s="14">
        <f t="shared" si="0"/>
        <v>2301000.2740149763</v>
      </c>
      <c r="I9" s="14">
        <f t="shared" si="1"/>
        <v>9204001.0960599054</v>
      </c>
      <c r="K9" s="472"/>
      <c r="L9" s="312">
        <v>1137102.8943127126</v>
      </c>
      <c r="M9" s="361">
        <v>1137102.8943127126</v>
      </c>
      <c r="N9" s="361">
        <v>1137102.8943127126</v>
      </c>
      <c r="O9" s="362">
        <v>1137102.8943127126</v>
      </c>
      <c r="P9" s="14">
        <f t="shared" si="2"/>
        <v>1137102.8943127126</v>
      </c>
      <c r="Q9" s="14">
        <f t="shared" si="3"/>
        <v>4548411.5772508504</v>
      </c>
      <c r="S9" s="472"/>
      <c r="T9" s="312">
        <v>531197.23945573403</v>
      </c>
      <c r="U9" s="361">
        <v>541118.03814504913</v>
      </c>
      <c r="V9" s="361">
        <v>541118.03814504913</v>
      </c>
      <c r="W9" s="362">
        <v>541118.03814504913</v>
      </c>
      <c r="X9" s="14">
        <f t="shared" si="4"/>
        <v>538637.83847272035</v>
      </c>
      <c r="Y9" s="14">
        <f t="shared" si="5"/>
        <v>2154551.3538908814</v>
      </c>
      <c r="AA9" s="472"/>
      <c r="AB9" s="312">
        <v>38247.757622722391</v>
      </c>
      <c r="AC9" s="361">
        <v>38247.757622722391</v>
      </c>
      <c r="AD9" s="361">
        <v>38247.757622722391</v>
      </c>
      <c r="AE9" s="362">
        <v>38247.757622722391</v>
      </c>
      <c r="AF9" s="14">
        <f t="shared" si="6"/>
        <v>38247.757622722391</v>
      </c>
      <c r="AG9" s="14">
        <f t="shared" si="7"/>
        <v>152991.03049088956</v>
      </c>
      <c r="AI9" s="472"/>
      <c r="AJ9" s="312">
        <v>179630.27352663124</v>
      </c>
      <c r="AK9" s="361">
        <v>179630.27352663124</v>
      </c>
      <c r="AL9" s="361">
        <v>179630.27352663124</v>
      </c>
      <c r="AM9" s="362">
        <v>179630.27352663124</v>
      </c>
      <c r="AN9" s="14">
        <f t="shared" si="8"/>
        <v>179630.27352663124</v>
      </c>
      <c r="AO9" s="14">
        <f t="shared" si="9"/>
        <v>718521.09410652495</v>
      </c>
      <c r="AQ9" s="472"/>
      <c r="AR9" s="312">
        <v>68765.054000000004</v>
      </c>
      <c r="AS9" s="361">
        <v>68765.054000000004</v>
      </c>
      <c r="AT9" s="361">
        <v>68765.054000000004</v>
      </c>
      <c r="AU9" s="362">
        <v>68765.054000000004</v>
      </c>
      <c r="AV9" s="14">
        <f t="shared" si="10"/>
        <v>68765.054000000004</v>
      </c>
      <c r="AW9" s="14">
        <f t="shared" si="11"/>
        <v>275060.21600000001</v>
      </c>
      <c r="AY9" s="472"/>
      <c r="AZ9" s="312">
        <v>230809.49908018956</v>
      </c>
      <c r="BA9" s="361">
        <v>230809.49908018956</v>
      </c>
      <c r="BB9" s="361">
        <v>230809.49908018956</v>
      </c>
      <c r="BC9" s="362">
        <v>230809.49908018956</v>
      </c>
      <c r="BD9" s="14">
        <f t="shared" si="12"/>
        <v>230809.49908018956</v>
      </c>
      <c r="BE9" s="14">
        <f t="shared" si="13"/>
        <v>923237.99632075825</v>
      </c>
      <c r="BG9" s="472"/>
      <c r="BH9" s="312">
        <v>107806.95700000002</v>
      </c>
      <c r="BI9" s="361">
        <v>107806.95700000002</v>
      </c>
      <c r="BJ9" s="361">
        <v>107806.95700000002</v>
      </c>
      <c r="BK9" s="362">
        <v>107806.95700000002</v>
      </c>
      <c r="BL9" s="14">
        <f t="shared" si="14"/>
        <v>107806.95700000002</v>
      </c>
      <c r="BM9" s="14">
        <f t="shared" si="15"/>
        <v>431227.8280000001</v>
      </c>
      <c r="BO9" s="189"/>
    </row>
    <row r="10" spans="1:67" x14ac:dyDescent="0.35">
      <c r="A10" s="25" t="s">
        <v>376</v>
      </c>
      <c r="B10" s="76"/>
      <c r="C10" s="472"/>
      <c r="D10" s="312">
        <f t="shared" si="17"/>
        <v>282.33424657534238</v>
      </c>
      <c r="E10" s="361">
        <f t="shared" si="16"/>
        <v>282.99999999999989</v>
      </c>
      <c r="F10" s="361">
        <f t="shared" si="16"/>
        <v>282.99999999999994</v>
      </c>
      <c r="G10" s="362">
        <f t="shared" si="16"/>
        <v>282.99999999999994</v>
      </c>
      <c r="H10" s="14">
        <f t="shared" si="0"/>
        <v>282.83356164383554</v>
      </c>
      <c r="I10" s="14">
        <f t="shared" si="1"/>
        <v>1131.3342465753421</v>
      </c>
      <c r="K10" s="472"/>
      <c r="L10" s="312">
        <v>102</v>
      </c>
      <c r="M10" s="361">
        <v>101.99999999999994</v>
      </c>
      <c r="N10" s="361">
        <v>101.99999999999996</v>
      </c>
      <c r="O10" s="362">
        <v>101.99999999999997</v>
      </c>
      <c r="P10" s="14">
        <f t="shared" si="2"/>
        <v>101.99999999999997</v>
      </c>
      <c r="Q10" s="14">
        <f t="shared" si="3"/>
        <v>407.99999999999989</v>
      </c>
      <c r="S10" s="472"/>
      <c r="T10" s="312">
        <v>89.334246575342377</v>
      </c>
      <c r="U10" s="361">
        <v>89.999999999999972</v>
      </c>
      <c r="V10" s="361">
        <v>89.999999999999986</v>
      </c>
      <c r="W10" s="362">
        <v>89.999999999999986</v>
      </c>
      <c r="X10" s="14">
        <f t="shared" si="4"/>
        <v>89.83356164383558</v>
      </c>
      <c r="Y10" s="14">
        <f t="shared" si="5"/>
        <v>359.33424657534232</v>
      </c>
      <c r="AA10" s="472"/>
      <c r="AB10" s="312">
        <v>6</v>
      </c>
      <c r="AC10" s="361">
        <v>6</v>
      </c>
      <c r="AD10" s="361">
        <v>6</v>
      </c>
      <c r="AE10" s="362">
        <v>6</v>
      </c>
      <c r="AF10" s="14">
        <f t="shared" si="6"/>
        <v>6</v>
      </c>
      <c r="AG10" s="14">
        <f t="shared" si="7"/>
        <v>24</v>
      </c>
      <c r="AI10" s="472"/>
      <c r="AJ10" s="312">
        <v>29</v>
      </c>
      <c r="AK10" s="361">
        <v>29</v>
      </c>
      <c r="AL10" s="361">
        <v>29</v>
      </c>
      <c r="AM10" s="362">
        <v>29</v>
      </c>
      <c r="AN10" s="14">
        <f t="shared" si="8"/>
        <v>29</v>
      </c>
      <c r="AO10" s="14">
        <f t="shared" si="9"/>
        <v>116</v>
      </c>
      <c r="AQ10" s="472"/>
      <c r="AR10" s="312">
        <v>13.000000000000002</v>
      </c>
      <c r="AS10" s="361">
        <v>13.000000000000002</v>
      </c>
      <c r="AT10" s="361">
        <v>13.000000000000002</v>
      </c>
      <c r="AU10" s="362">
        <v>13.000000000000002</v>
      </c>
      <c r="AV10" s="14">
        <f t="shared" si="10"/>
        <v>13.000000000000002</v>
      </c>
      <c r="AW10" s="14">
        <f t="shared" si="11"/>
        <v>52.000000000000007</v>
      </c>
      <c r="AY10" s="472"/>
      <c r="AZ10" s="312">
        <v>32</v>
      </c>
      <c r="BA10" s="361">
        <v>32</v>
      </c>
      <c r="BB10" s="361">
        <v>32</v>
      </c>
      <c r="BC10" s="362">
        <v>32</v>
      </c>
      <c r="BD10" s="14">
        <f t="shared" si="12"/>
        <v>32</v>
      </c>
      <c r="BE10" s="14">
        <f t="shared" si="13"/>
        <v>128</v>
      </c>
      <c r="BG10" s="472"/>
      <c r="BH10" s="312">
        <v>11</v>
      </c>
      <c r="BI10" s="361">
        <v>11</v>
      </c>
      <c r="BJ10" s="361">
        <v>11</v>
      </c>
      <c r="BK10" s="362">
        <v>11</v>
      </c>
      <c r="BL10" s="14">
        <f t="shared" si="14"/>
        <v>11</v>
      </c>
      <c r="BM10" s="14">
        <f t="shared" si="15"/>
        <v>44</v>
      </c>
      <c r="BO10" s="189"/>
    </row>
    <row r="11" spans="1:67" x14ac:dyDescent="0.35">
      <c r="A11" s="36" t="s">
        <v>378</v>
      </c>
      <c r="B11" s="76"/>
      <c r="C11" s="472"/>
      <c r="D11" s="312">
        <f t="shared" si="17"/>
        <v>519289</v>
      </c>
      <c r="E11" s="361">
        <f t="shared" si="16"/>
        <v>519289</v>
      </c>
      <c r="F11" s="361">
        <f t="shared" si="16"/>
        <v>519289</v>
      </c>
      <c r="G11" s="362">
        <f t="shared" si="16"/>
        <v>519289</v>
      </c>
      <c r="H11" s="14">
        <f t="shared" si="0"/>
        <v>519289</v>
      </c>
      <c r="I11" s="14">
        <f t="shared" si="1"/>
        <v>2077156</v>
      </c>
      <c r="J11" s="281"/>
      <c r="K11" s="472"/>
      <c r="L11" s="312">
        <v>204443</v>
      </c>
      <c r="M11" s="361">
        <v>204443</v>
      </c>
      <c r="N11" s="361">
        <v>204443</v>
      </c>
      <c r="O11" s="362">
        <v>204443</v>
      </c>
      <c r="P11" s="14">
        <f t="shared" si="2"/>
        <v>204443</v>
      </c>
      <c r="Q11" s="14">
        <f t="shared" si="3"/>
        <v>817772</v>
      </c>
      <c r="R11" s="281"/>
      <c r="S11" s="472"/>
      <c r="T11" s="312">
        <v>0</v>
      </c>
      <c r="U11" s="361">
        <v>0</v>
      </c>
      <c r="V11" s="361">
        <v>0</v>
      </c>
      <c r="W11" s="362">
        <v>0</v>
      </c>
      <c r="X11" s="14">
        <f t="shared" si="4"/>
        <v>0</v>
      </c>
      <c r="Y11" s="14">
        <f t="shared" si="5"/>
        <v>0</v>
      </c>
      <c r="Z11" s="281"/>
      <c r="AA11" s="472"/>
      <c r="AB11" s="312">
        <v>0</v>
      </c>
      <c r="AC11" s="361">
        <v>0</v>
      </c>
      <c r="AD11" s="361">
        <v>0</v>
      </c>
      <c r="AE11" s="362">
        <v>0</v>
      </c>
      <c r="AF11" s="14">
        <f t="shared" si="6"/>
        <v>0</v>
      </c>
      <c r="AG11" s="14">
        <f t="shared" si="7"/>
        <v>0</v>
      </c>
      <c r="AH11" s="281"/>
      <c r="AI11" s="472"/>
      <c r="AJ11" s="312">
        <v>0</v>
      </c>
      <c r="AK11" s="361">
        <v>0</v>
      </c>
      <c r="AL11" s="361">
        <v>0</v>
      </c>
      <c r="AM11" s="362">
        <v>0</v>
      </c>
      <c r="AN11" s="14">
        <f t="shared" si="8"/>
        <v>0</v>
      </c>
      <c r="AO11" s="14">
        <f t="shared" si="9"/>
        <v>0</v>
      </c>
      <c r="AP11" s="281"/>
      <c r="AQ11" s="472"/>
      <c r="AR11" s="312">
        <v>0</v>
      </c>
      <c r="AS11" s="361">
        <v>0</v>
      </c>
      <c r="AT11" s="361">
        <v>0</v>
      </c>
      <c r="AU11" s="362">
        <v>0</v>
      </c>
      <c r="AV11" s="14">
        <f t="shared" si="10"/>
        <v>0</v>
      </c>
      <c r="AW11" s="14">
        <f t="shared" si="11"/>
        <v>0</v>
      </c>
      <c r="AX11" s="281"/>
      <c r="AY11" s="472"/>
      <c r="AZ11" s="312">
        <v>314846</v>
      </c>
      <c r="BA11" s="361">
        <v>314846</v>
      </c>
      <c r="BB11" s="361">
        <v>314846</v>
      </c>
      <c r="BC11" s="362">
        <v>314846</v>
      </c>
      <c r="BD11" s="14">
        <f t="shared" si="12"/>
        <v>314846</v>
      </c>
      <c r="BE11" s="14">
        <f t="shared" si="13"/>
        <v>1259384</v>
      </c>
      <c r="BF11" s="281"/>
      <c r="BG11" s="472"/>
      <c r="BH11" s="312">
        <v>0</v>
      </c>
      <c r="BI11" s="361">
        <v>0</v>
      </c>
      <c r="BJ11" s="361">
        <v>0</v>
      </c>
      <c r="BK11" s="362">
        <v>0</v>
      </c>
      <c r="BL11" s="14">
        <f t="shared" si="14"/>
        <v>0</v>
      </c>
      <c r="BM11" s="14">
        <f t="shared" si="15"/>
        <v>0</v>
      </c>
      <c r="BN11" s="281"/>
      <c r="BO11" s="189"/>
    </row>
    <row r="12" spans="1:67" x14ac:dyDescent="0.35">
      <c r="A12" s="36" t="s">
        <v>377</v>
      </c>
      <c r="B12" s="76"/>
      <c r="C12" s="472"/>
      <c r="D12" s="312">
        <f t="shared" si="17"/>
        <v>30</v>
      </c>
      <c r="E12" s="361">
        <f t="shared" si="16"/>
        <v>30</v>
      </c>
      <c r="F12" s="361">
        <f t="shared" si="16"/>
        <v>30</v>
      </c>
      <c r="G12" s="362">
        <f t="shared" si="16"/>
        <v>30</v>
      </c>
      <c r="H12" s="14">
        <f t="shared" si="0"/>
        <v>30</v>
      </c>
      <c r="I12" s="14">
        <f t="shared" si="1"/>
        <v>120</v>
      </c>
      <c r="J12" s="281"/>
      <c r="K12" s="472"/>
      <c r="L12" s="312">
        <v>12</v>
      </c>
      <c r="M12" s="361">
        <v>12</v>
      </c>
      <c r="N12" s="361">
        <v>12</v>
      </c>
      <c r="O12" s="362">
        <v>12</v>
      </c>
      <c r="P12" s="14">
        <f t="shared" si="2"/>
        <v>12</v>
      </c>
      <c r="Q12" s="14">
        <f t="shared" si="3"/>
        <v>48</v>
      </c>
      <c r="R12" s="281"/>
      <c r="S12" s="472"/>
      <c r="T12" s="312">
        <v>0</v>
      </c>
      <c r="U12" s="361">
        <v>0</v>
      </c>
      <c r="V12" s="361">
        <v>0</v>
      </c>
      <c r="W12" s="362">
        <v>0</v>
      </c>
      <c r="X12" s="14">
        <f t="shared" si="4"/>
        <v>0</v>
      </c>
      <c r="Y12" s="14">
        <f t="shared" si="5"/>
        <v>0</v>
      </c>
      <c r="Z12" s="281"/>
      <c r="AA12" s="472"/>
      <c r="AB12" s="312">
        <v>0</v>
      </c>
      <c r="AC12" s="361">
        <v>0</v>
      </c>
      <c r="AD12" s="361">
        <v>0</v>
      </c>
      <c r="AE12" s="362">
        <v>0</v>
      </c>
      <c r="AF12" s="14">
        <f t="shared" si="6"/>
        <v>0</v>
      </c>
      <c r="AG12" s="14">
        <f t="shared" si="7"/>
        <v>0</v>
      </c>
      <c r="AH12" s="281"/>
      <c r="AI12" s="472"/>
      <c r="AJ12" s="312">
        <v>0</v>
      </c>
      <c r="AK12" s="361">
        <v>0</v>
      </c>
      <c r="AL12" s="361">
        <v>0</v>
      </c>
      <c r="AM12" s="362">
        <v>0</v>
      </c>
      <c r="AN12" s="14">
        <f t="shared" si="8"/>
        <v>0</v>
      </c>
      <c r="AO12" s="14">
        <f t="shared" si="9"/>
        <v>0</v>
      </c>
      <c r="AP12" s="281"/>
      <c r="AQ12" s="472"/>
      <c r="AR12" s="312">
        <v>0</v>
      </c>
      <c r="AS12" s="361">
        <v>0</v>
      </c>
      <c r="AT12" s="361">
        <v>0</v>
      </c>
      <c r="AU12" s="362">
        <v>0</v>
      </c>
      <c r="AV12" s="14">
        <f t="shared" si="10"/>
        <v>0</v>
      </c>
      <c r="AW12" s="14">
        <f t="shared" si="11"/>
        <v>0</v>
      </c>
      <c r="AX12" s="281"/>
      <c r="AY12" s="472"/>
      <c r="AZ12" s="312">
        <v>18</v>
      </c>
      <c r="BA12" s="361">
        <v>18</v>
      </c>
      <c r="BB12" s="361">
        <v>18</v>
      </c>
      <c r="BC12" s="362">
        <v>18</v>
      </c>
      <c r="BD12" s="14">
        <f t="shared" si="12"/>
        <v>18</v>
      </c>
      <c r="BE12" s="14">
        <f t="shared" si="13"/>
        <v>72</v>
      </c>
      <c r="BF12" s="281"/>
      <c r="BG12" s="472"/>
      <c r="BH12" s="312">
        <v>0</v>
      </c>
      <c r="BI12" s="361">
        <v>0</v>
      </c>
      <c r="BJ12" s="361">
        <v>0</v>
      </c>
      <c r="BK12" s="362">
        <v>0</v>
      </c>
      <c r="BL12" s="14">
        <f t="shared" si="14"/>
        <v>0</v>
      </c>
      <c r="BM12" s="14">
        <f t="shared" si="15"/>
        <v>0</v>
      </c>
      <c r="BN12" s="281"/>
      <c r="BO12" s="189"/>
    </row>
    <row r="13" spans="1:67" x14ac:dyDescent="0.35">
      <c r="A13" s="36" t="s">
        <v>451</v>
      </c>
      <c r="B13" s="76"/>
      <c r="C13" s="472"/>
      <c r="D13" s="312">
        <f t="shared" si="17"/>
        <v>0</v>
      </c>
      <c r="E13" s="361">
        <f t="shared" si="16"/>
        <v>0</v>
      </c>
      <c r="F13" s="361">
        <f t="shared" si="16"/>
        <v>0</v>
      </c>
      <c r="G13" s="362">
        <f t="shared" si="16"/>
        <v>0</v>
      </c>
      <c r="H13" s="14">
        <f t="shared" si="0"/>
        <v>0</v>
      </c>
      <c r="I13" s="14">
        <f t="shared" si="1"/>
        <v>0</v>
      </c>
      <c r="J13" s="281"/>
      <c r="K13" s="472"/>
      <c r="L13" s="312">
        <v>0</v>
      </c>
      <c r="M13" s="361">
        <v>0</v>
      </c>
      <c r="N13" s="361">
        <v>0</v>
      </c>
      <c r="O13" s="362">
        <v>0</v>
      </c>
      <c r="P13" s="14">
        <f t="shared" si="2"/>
        <v>0</v>
      </c>
      <c r="Q13" s="14">
        <f t="shared" si="3"/>
        <v>0</v>
      </c>
      <c r="R13" s="281"/>
      <c r="S13" s="472"/>
      <c r="T13" s="312">
        <v>0</v>
      </c>
      <c r="U13" s="361">
        <v>0</v>
      </c>
      <c r="V13" s="361">
        <v>0</v>
      </c>
      <c r="W13" s="362">
        <v>0</v>
      </c>
      <c r="X13" s="14">
        <f t="shared" si="4"/>
        <v>0</v>
      </c>
      <c r="Y13" s="14">
        <f t="shared" si="5"/>
        <v>0</v>
      </c>
      <c r="Z13" s="281"/>
      <c r="AA13" s="472"/>
      <c r="AB13" s="312">
        <v>0</v>
      </c>
      <c r="AC13" s="361">
        <v>0</v>
      </c>
      <c r="AD13" s="361">
        <v>0</v>
      </c>
      <c r="AE13" s="362">
        <v>0</v>
      </c>
      <c r="AF13" s="14">
        <f t="shared" si="6"/>
        <v>0</v>
      </c>
      <c r="AG13" s="14">
        <f t="shared" si="7"/>
        <v>0</v>
      </c>
      <c r="AH13" s="281"/>
      <c r="AI13" s="472"/>
      <c r="AJ13" s="312">
        <v>0</v>
      </c>
      <c r="AK13" s="361">
        <v>0</v>
      </c>
      <c r="AL13" s="361">
        <v>0</v>
      </c>
      <c r="AM13" s="362">
        <v>0</v>
      </c>
      <c r="AN13" s="14">
        <f t="shared" si="8"/>
        <v>0</v>
      </c>
      <c r="AO13" s="14">
        <f t="shared" si="9"/>
        <v>0</v>
      </c>
      <c r="AP13" s="281"/>
      <c r="AQ13" s="472"/>
      <c r="AR13" s="312">
        <v>0</v>
      </c>
      <c r="AS13" s="361">
        <v>0</v>
      </c>
      <c r="AT13" s="361">
        <v>0</v>
      </c>
      <c r="AU13" s="362">
        <v>0</v>
      </c>
      <c r="AV13" s="14">
        <f t="shared" si="10"/>
        <v>0</v>
      </c>
      <c r="AW13" s="14">
        <f t="shared" si="11"/>
        <v>0</v>
      </c>
      <c r="AX13" s="281"/>
      <c r="AY13" s="472"/>
      <c r="AZ13" s="312">
        <v>0</v>
      </c>
      <c r="BA13" s="361">
        <v>0</v>
      </c>
      <c r="BB13" s="361">
        <v>0</v>
      </c>
      <c r="BC13" s="362">
        <v>0</v>
      </c>
      <c r="BD13" s="14">
        <f t="shared" si="12"/>
        <v>0</v>
      </c>
      <c r="BE13" s="14">
        <f t="shared" si="13"/>
        <v>0</v>
      </c>
      <c r="BF13" s="281"/>
      <c r="BG13" s="472"/>
      <c r="BH13" s="312">
        <v>0</v>
      </c>
      <c r="BI13" s="361">
        <v>0</v>
      </c>
      <c r="BJ13" s="361">
        <v>0</v>
      </c>
      <c r="BK13" s="362">
        <v>0</v>
      </c>
      <c r="BL13" s="14">
        <f t="shared" si="14"/>
        <v>0</v>
      </c>
      <c r="BM13" s="14">
        <f t="shared" si="15"/>
        <v>0</v>
      </c>
      <c r="BN13" s="281"/>
      <c r="BO13" s="189"/>
    </row>
    <row r="14" spans="1:67" x14ac:dyDescent="0.35">
      <c r="A14" s="36" t="s">
        <v>452</v>
      </c>
      <c r="B14" s="76"/>
      <c r="C14" s="472"/>
      <c r="D14" s="312">
        <f t="shared" si="17"/>
        <v>0</v>
      </c>
      <c r="E14" s="361">
        <f t="shared" si="16"/>
        <v>0</v>
      </c>
      <c r="F14" s="361">
        <f t="shared" si="16"/>
        <v>0</v>
      </c>
      <c r="G14" s="362">
        <f t="shared" si="16"/>
        <v>0</v>
      </c>
      <c r="H14" s="14">
        <f t="shared" si="0"/>
        <v>0</v>
      </c>
      <c r="I14" s="14">
        <f t="shared" si="1"/>
        <v>0</v>
      </c>
      <c r="J14" s="281"/>
      <c r="K14" s="472"/>
      <c r="L14" s="312">
        <v>0</v>
      </c>
      <c r="M14" s="361">
        <v>0</v>
      </c>
      <c r="N14" s="361">
        <v>0</v>
      </c>
      <c r="O14" s="362">
        <v>0</v>
      </c>
      <c r="P14" s="14">
        <f t="shared" si="2"/>
        <v>0</v>
      </c>
      <c r="Q14" s="14">
        <f t="shared" si="3"/>
        <v>0</v>
      </c>
      <c r="R14" s="281"/>
      <c r="S14" s="472"/>
      <c r="T14" s="312">
        <v>0</v>
      </c>
      <c r="U14" s="361">
        <v>0</v>
      </c>
      <c r="V14" s="361">
        <v>0</v>
      </c>
      <c r="W14" s="362">
        <v>0</v>
      </c>
      <c r="X14" s="14">
        <f t="shared" si="4"/>
        <v>0</v>
      </c>
      <c r="Y14" s="14">
        <f t="shared" si="5"/>
        <v>0</v>
      </c>
      <c r="Z14" s="281"/>
      <c r="AA14" s="472"/>
      <c r="AB14" s="312">
        <v>0</v>
      </c>
      <c r="AC14" s="361">
        <v>0</v>
      </c>
      <c r="AD14" s="361">
        <v>0</v>
      </c>
      <c r="AE14" s="362">
        <v>0</v>
      </c>
      <c r="AF14" s="14">
        <f t="shared" si="6"/>
        <v>0</v>
      </c>
      <c r="AG14" s="14">
        <f t="shared" si="7"/>
        <v>0</v>
      </c>
      <c r="AH14" s="281"/>
      <c r="AI14" s="472"/>
      <c r="AJ14" s="312">
        <v>0</v>
      </c>
      <c r="AK14" s="361">
        <v>0</v>
      </c>
      <c r="AL14" s="361">
        <v>0</v>
      </c>
      <c r="AM14" s="362">
        <v>0</v>
      </c>
      <c r="AN14" s="14">
        <f t="shared" si="8"/>
        <v>0</v>
      </c>
      <c r="AO14" s="14">
        <f t="shared" si="9"/>
        <v>0</v>
      </c>
      <c r="AP14" s="281"/>
      <c r="AQ14" s="472"/>
      <c r="AR14" s="312">
        <v>0</v>
      </c>
      <c r="AS14" s="361">
        <v>0</v>
      </c>
      <c r="AT14" s="361">
        <v>0</v>
      </c>
      <c r="AU14" s="362">
        <v>0</v>
      </c>
      <c r="AV14" s="14">
        <f t="shared" si="10"/>
        <v>0</v>
      </c>
      <c r="AW14" s="14">
        <f t="shared" si="11"/>
        <v>0</v>
      </c>
      <c r="AX14" s="281"/>
      <c r="AY14" s="472"/>
      <c r="AZ14" s="312">
        <v>0</v>
      </c>
      <c r="BA14" s="361">
        <v>0</v>
      </c>
      <c r="BB14" s="361">
        <v>0</v>
      </c>
      <c r="BC14" s="362">
        <v>0</v>
      </c>
      <c r="BD14" s="14">
        <f t="shared" si="12"/>
        <v>0</v>
      </c>
      <c r="BE14" s="14">
        <f t="shared" si="13"/>
        <v>0</v>
      </c>
      <c r="BF14" s="281"/>
      <c r="BG14" s="472"/>
      <c r="BH14" s="312">
        <v>0</v>
      </c>
      <c r="BI14" s="361">
        <v>0</v>
      </c>
      <c r="BJ14" s="361">
        <v>0</v>
      </c>
      <c r="BK14" s="362">
        <v>0</v>
      </c>
      <c r="BL14" s="14">
        <f t="shared" si="14"/>
        <v>0</v>
      </c>
      <c r="BM14" s="14">
        <f t="shared" si="15"/>
        <v>0</v>
      </c>
      <c r="BN14" s="281"/>
      <c r="BO14" s="189"/>
    </row>
    <row r="15" spans="1:67" x14ac:dyDescent="0.35">
      <c r="A15" s="36" t="s">
        <v>380</v>
      </c>
      <c r="B15" s="280"/>
      <c r="C15" s="472"/>
      <c r="D15" s="312">
        <f t="shared" si="17"/>
        <v>0</v>
      </c>
      <c r="E15" s="361">
        <f t="shared" si="16"/>
        <v>0</v>
      </c>
      <c r="F15" s="361">
        <f t="shared" si="16"/>
        <v>0</v>
      </c>
      <c r="G15" s="362">
        <f t="shared" si="16"/>
        <v>0</v>
      </c>
      <c r="H15" s="14">
        <f t="shared" si="0"/>
        <v>0</v>
      </c>
      <c r="I15" s="14">
        <f t="shared" si="1"/>
        <v>0</v>
      </c>
      <c r="J15" s="281"/>
      <c r="K15" s="472"/>
      <c r="L15" s="312">
        <v>0</v>
      </c>
      <c r="M15" s="361">
        <v>0</v>
      </c>
      <c r="N15" s="361">
        <v>0</v>
      </c>
      <c r="O15" s="362">
        <v>0</v>
      </c>
      <c r="P15" s="14">
        <f t="shared" si="2"/>
        <v>0</v>
      </c>
      <c r="Q15" s="14">
        <f t="shared" si="3"/>
        <v>0</v>
      </c>
      <c r="R15" s="281"/>
      <c r="S15" s="472"/>
      <c r="T15" s="312">
        <v>0</v>
      </c>
      <c r="U15" s="361">
        <v>0</v>
      </c>
      <c r="V15" s="361">
        <v>0</v>
      </c>
      <c r="W15" s="362">
        <v>0</v>
      </c>
      <c r="X15" s="14">
        <f t="shared" si="4"/>
        <v>0</v>
      </c>
      <c r="Y15" s="14">
        <f t="shared" si="5"/>
        <v>0</v>
      </c>
      <c r="Z15" s="281"/>
      <c r="AA15" s="472"/>
      <c r="AB15" s="312">
        <v>0</v>
      </c>
      <c r="AC15" s="361">
        <v>0</v>
      </c>
      <c r="AD15" s="361">
        <v>0</v>
      </c>
      <c r="AE15" s="362">
        <v>0</v>
      </c>
      <c r="AF15" s="14">
        <f t="shared" si="6"/>
        <v>0</v>
      </c>
      <c r="AG15" s="14">
        <f t="shared" si="7"/>
        <v>0</v>
      </c>
      <c r="AH15" s="281"/>
      <c r="AI15" s="472"/>
      <c r="AJ15" s="312">
        <v>0</v>
      </c>
      <c r="AK15" s="361">
        <v>0</v>
      </c>
      <c r="AL15" s="361">
        <v>0</v>
      </c>
      <c r="AM15" s="362">
        <v>0</v>
      </c>
      <c r="AN15" s="14">
        <f t="shared" si="8"/>
        <v>0</v>
      </c>
      <c r="AO15" s="14">
        <f t="shared" si="9"/>
        <v>0</v>
      </c>
      <c r="AP15" s="281"/>
      <c r="AQ15" s="472"/>
      <c r="AR15" s="312">
        <v>0</v>
      </c>
      <c r="AS15" s="361">
        <v>0</v>
      </c>
      <c r="AT15" s="361">
        <v>0</v>
      </c>
      <c r="AU15" s="362">
        <v>0</v>
      </c>
      <c r="AV15" s="14">
        <f t="shared" si="10"/>
        <v>0</v>
      </c>
      <c r="AW15" s="14">
        <f t="shared" si="11"/>
        <v>0</v>
      </c>
      <c r="AX15" s="281"/>
      <c r="AY15" s="472"/>
      <c r="AZ15" s="312">
        <v>0</v>
      </c>
      <c r="BA15" s="361">
        <v>0</v>
      </c>
      <c r="BB15" s="361">
        <v>0</v>
      </c>
      <c r="BC15" s="362">
        <v>0</v>
      </c>
      <c r="BD15" s="14">
        <f t="shared" si="12"/>
        <v>0</v>
      </c>
      <c r="BE15" s="14">
        <f t="shared" si="13"/>
        <v>0</v>
      </c>
      <c r="BF15" s="281"/>
      <c r="BG15" s="472"/>
      <c r="BH15" s="312">
        <v>0</v>
      </c>
      <c r="BI15" s="361">
        <v>0</v>
      </c>
      <c r="BJ15" s="361">
        <v>0</v>
      </c>
      <c r="BK15" s="362">
        <v>0</v>
      </c>
      <c r="BL15" s="14">
        <f t="shared" si="14"/>
        <v>0</v>
      </c>
      <c r="BM15" s="14">
        <f t="shared" si="15"/>
        <v>0</v>
      </c>
      <c r="BN15" s="281"/>
      <c r="BO15" s="189"/>
    </row>
    <row r="16" spans="1:67" x14ac:dyDescent="0.35">
      <c r="A16" s="59" t="s">
        <v>381</v>
      </c>
      <c r="B16" s="282"/>
      <c r="C16" s="473"/>
      <c r="D16" s="316">
        <f t="shared" si="17"/>
        <v>0</v>
      </c>
      <c r="E16" s="417">
        <f t="shared" si="16"/>
        <v>0</v>
      </c>
      <c r="F16" s="417">
        <f t="shared" si="16"/>
        <v>0</v>
      </c>
      <c r="G16" s="418">
        <f t="shared" si="16"/>
        <v>0</v>
      </c>
      <c r="H16" s="16">
        <f t="shared" si="0"/>
        <v>0</v>
      </c>
      <c r="I16" s="16">
        <f t="shared" si="1"/>
        <v>0</v>
      </c>
      <c r="J16" s="281"/>
      <c r="K16" s="473"/>
      <c r="L16" s="316">
        <v>0</v>
      </c>
      <c r="M16" s="417">
        <v>0</v>
      </c>
      <c r="N16" s="417">
        <v>0</v>
      </c>
      <c r="O16" s="418">
        <v>0</v>
      </c>
      <c r="P16" s="16">
        <f t="shared" si="2"/>
        <v>0</v>
      </c>
      <c r="Q16" s="16">
        <f t="shared" si="3"/>
        <v>0</v>
      </c>
      <c r="R16" s="281"/>
      <c r="S16" s="473"/>
      <c r="T16" s="316">
        <v>0</v>
      </c>
      <c r="U16" s="417">
        <v>0</v>
      </c>
      <c r="V16" s="417">
        <v>0</v>
      </c>
      <c r="W16" s="418">
        <v>0</v>
      </c>
      <c r="X16" s="16">
        <f t="shared" si="4"/>
        <v>0</v>
      </c>
      <c r="Y16" s="16">
        <f t="shared" si="5"/>
        <v>0</v>
      </c>
      <c r="Z16" s="281"/>
      <c r="AA16" s="473"/>
      <c r="AB16" s="316">
        <v>0</v>
      </c>
      <c r="AC16" s="417">
        <v>0</v>
      </c>
      <c r="AD16" s="417">
        <v>0</v>
      </c>
      <c r="AE16" s="418">
        <v>0</v>
      </c>
      <c r="AF16" s="16">
        <f t="shared" si="6"/>
        <v>0</v>
      </c>
      <c r="AG16" s="16">
        <f t="shared" si="7"/>
        <v>0</v>
      </c>
      <c r="AH16" s="281"/>
      <c r="AI16" s="473"/>
      <c r="AJ16" s="316">
        <v>0</v>
      </c>
      <c r="AK16" s="417">
        <v>0</v>
      </c>
      <c r="AL16" s="417">
        <v>0</v>
      </c>
      <c r="AM16" s="418">
        <v>0</v>
      </c>
      <c r="AN16" s="16">
        <f t="shared" si="8"/>
        <v>0</v>
      </c>
      <c r="AO16" s="16">
        <f t="shared" si="9"/>
        <v>0</v>
      </c>
      <c r="AP16" s="281"/>
      <c r="AQ16" s="473"/>
      <c r="AR16" s="316">
        <v>0</v>
      </c>
      <c r="AS16" s="417">
        <v>0</v>
      </c>
      <c r="AT16" s="417">
        <v>0</v>
      </c>
      <c r="AU16" s="418">
        <v>0</v>
      </c>
      <c r="AV16" s="16">
        <f t="shared" si="10"/>
        <v>0</v>
      </c>
      <c r="AW16" s="16">
        <f t="shared" si="11"/>
        <v>0</v>
      </c>
      <c r="AX16" s="281"/>
      <c r="AY16" s="473"/>
      <c r="AZ16" s="316">
        <v>0</v>
      </c>
      <c r="BA16" s="417">
        <v>0</v>
      </c>
      <c r="BB16" s="417">
        <v>0</v>
      </c>
      <c r="BC16" s="418">
        <v>0</v>
      </c>
      <c r="BD16" s="16">
        <f t="shared" si="12"/>
        <v>0</v>
      </c>
      <c r="BE16" s="16">
        <f t="shared" si="13"/>
        <v>0</v>
      </c>
      <c r="BF16" s="281"/>
      <c r="BG16" s="473"/>
      <c r="BH16" s="316">
        <v>0</v>
      </c>
      <c r="BI16" s="417">
        <v>0</v>
      </c>
      <c r="BJ16" s="417">
        <v>0</v>
      </c>
      <c r="BK16" s="418">
        <v>0</v>
      </c>
      <c r="BL16" s="16">
        <f t="shared" si="14"/>
        <v>0</v>
      </c>
      <c r="BM16" s="16">
        <f t="shared" si="15"/>
        <v>0</v>
      </c>
      <c r="BN16" s="281"/>
      <c r="BO16" s="204"/>
    </row>
    <row r="17" spans="1:67" x14ac:dyDescent="0.35">
      <c r="A17" s="49"/>
      <c r="B17" s="49"/>
      <c r="C17" s="49"/>
      <c r="D17" s="49"/>
      <c r="E17" s="49"/>
      <c r="F17" s="49"/>
      <c r="G17" s="49"/>
      <c r="H17" s="49"/>
      <c r="I17" s="49"/>
      <c r="K17" s="49"/>
      <c r="L17" s="49"/>
      <c r="M17" s="49"/>
      <c r="N17" s="49"/>
      <c r="O17" s="49"/>
      <c r="P17" s="49"/>
      <c r="Q17" s="49"/>
      <c r="S17" s="49"/>
      <c r="T17" s="49"/>
      <c r="U17" s="49"/>
      <c r="V17" s="49"/>
      <c r="W17" s="49"/>
      <c r="X17" s="49"/>
      <c r="Y17" s="49"/>
      <c r="AA17" s="49"/>
      <c r="AB17" s="49"/>
      <c r="AC17" s="49"/>
      <c r="AD17" s="49"/>
      <c r="AE17" s="49"/>
      <c r="AF17" s="49"/>
      <c r="AG17" s="49"/>
      <c r="AI17" s="49"/>
      <c r="AJ17" s="49"/>
      <c r="AK17" s="49"/>
      <c r="AL17" s="49"/>
      <c r="AM17" s="49"/>
      <c r="AN17" s="49"/>
      <c r="AO17" s="49"/>
      <c r="AQ17" s="49"/>
      <c r="AR17" s="49"/>
      <c r="AS17" s="49"/>
      <c r="AT17" s="49"/>
      <c r="AU17" s="49"/>
      <c r="AV17" s="49"/>
      <c r="AW17" s="49"/>
      <c r="AY17" s="49"/>
      <c r="AZ17" s="49"/>
      <c r="BA17" s="49"/>
      <c r="BB17" s="49"/>
      <c r="BC17" s="49"/>
      <c r="BD17" s="49"/>
      <c r="BE17" s="49"/>
      <c r="BG17" s="49"/>
      <c r="BH17" s="49"/>
      <c r="BI17" s="49"/>
      <c r="BJ17" s="49"/>
      <c r="BK17" s="49"/>
      <c r="BL17" s="49"/>
      <c r="BM17" s="49"/>
    </row>
    <row r="18" spans="1:67" x14ac:dyDescent="0.35">
      <c r="A18" s="42" t="s">
        <v>98</v>
      </c>
      <c r="B18" s="43"/>
      <c r="C18" s="44"/>
      <c r="D18" s="44"/>
      <c r="E18" s="44"/>
      <c r="F18" s="44"/>
      <c r="G18" s="44"/>
      <c r="H18" s="44"/>
      <c r="I18" s="44"/>
      <c r="K18" s="44"/>
      <c r="L18" s="44"/>
      <c r="M18" s="44"/>
      <c r="N18" s="44"/>
      <c r="O18" s="44"/>
      <c r="P18" s="44"/>
      <c r="Q18" s="44"/>
      <c r="S18" s="44"/>
      <c r="T18" s="44"/>
      <c r="U18" s="44"/>
      <c r="V18" s="44"/>
      <c r="W18" s="44"/>
      <c r="X18" s="44"/>
      <c r="Y18" s="44"/>
      <c r="AA18" s="44"/>
      <c r="AB18" s="44"/>
      <c r="AC18" s="44"/>
      <c r="AD18" s="44"/>
      <c r="AE18" s="44"/>
      <c r="AF18" s="44"/>
      <c r="AG18" s="44"/>
      <c r="AI18" s="44"/>
      <c r="AJ18" s="44"/>
      <c r="AK18" s="44"/>
      <c r="AL18" s="44"/>
      <c r="AM18" s="44"/>
      <c r="AN18" s="44"/>
      <c r="AO18" s="44"/>
      <c r="AQ18" s="44"/>
      <c r="AR18" s="44"/>
      <c r="AS18" s="44"/>
      <c r="AT18" s="44"/>
      <c r="AU18" s="44"/>
      <c r="AV18" s="44"/>
      <c r="AW18" s="44"/>
      <c r="AY18" s="44"/>
      <c r="AZ18" s="44"/>
      <c r="BA18" s="44"/>
      <c r="BB18" s="44"/>
      <c r="BC18" s="44"/>
      <c r="BD18" s="44"/>
      <c r="BE18" s="44"/>
      <c r="BG18" s="44"/>
      <c r="BH18" s="44"/>
      <c r="BI18" s="44"/>
      <c r="BJ18" s="44"/>
      <c r="BK18" s="44"/>
      <c r="BL18" s="44"/>
      <c r="BM18" s="44"/>
    </row>
    <row r="20" spans="1:67" ht="25" customHeight="1" x14ac:dyDescent="0.35">
      <c r="A20" s="666" t="s">
        <v>180</v>
      </c>
      <c r="B20" s="655" t="s">
        <v>404</v>
      </c>
      <c r="C20" s="3" t="str">
        <f>Annee0</f>
        <v>Année 0</v>
      </c>
      <c r="D20" s="3" t="str">
        <f>Annee1</f>
        <v>Année 1</v>
      </c>
      <c r="E20" s="3" t="str">
        <f>Annee2</f>
        <v>Année 2</v>
      </c>
      <c r="F20" s="516" t="str">
        <f>Annee3</f>
        <v>Année 3</v>
      </c>
      <c r="G20" s="121" t="str">
        <f>Annee4</f>
        <v>Année 4</v>
      </c>
      <c r="H20" s="181" t="s">
        <v>256</v>
      </c>
      <c r="I20" s="4" t="s">
        <v>59</v>
      </c>
      <c r="K20" s="3" t="str">
        <f>Annee0</f>
        <v>Année 0</v>
      </c>
      <c r="L20" s="3" t="str">
        <f>Annee1</f>
        <v>Année 1</v>
      </c>
      <c r="M20" s="3" t="str">
        <f>Annee2</f>
        <v>Année 2</v>
      </c>
      <c r="N20" s="516" t="str">
        <f>Annee3</f>
        <v>Année 3</v>
      </c>
      <c r="O20" s="121" t="str">
        <f>Annee4</f>
        <v>Année 4</v>
      </c>
      <c r="P20" s="181" t="s">
        <v>256</v>
      </c>
      <c r="Q20" s="4" t="s">
        <v>59</v>
      </c>
      <c r="S20" s="3" t="str">
        <f>Annee0</f>
        <v>Année 0</v>
      </c>
      <c r="T20" s="3" t="str">
        <f>Annee1</f>
        <v>Année 1</v>
      </c>
      <c r="U20" s="3" t="str">
        <f>Annee2</f>
        <v>Année 2</v>
      </c>
      <c r="V20" s="516" t="str">
        <f>Annee3</f>
        <v>Année 3</v>
      </c>
      <c r="W20" s="121" t="str">
        <f>Annee4</f>
        <v>Année 4</v>
      </c>
      <c r="X20" s="181" t="s">
        <v>256</v>
      </c>
      <c r="Y20" s="4" t="s">
        <v>59</v>
      </c>
      <c r="AA20" s="3" t="str">
        <f>Annee0</f>
        <v>Année 0</v>
      </c>
      <c r="AB20" s="3" t="str">
        <f>Annee1</f>
        <v>Année 1</v>
      </c>
      <c r="AC20" s="3" t="str">
        <f>Annee2</f>
        <v>Année 2</v>
      </c>
      <c r="AD20" s="516" t="str">
        <f>Annee3</f>
        <v>Année 3</v>
      </c>
      <c r="AE20" s="121" t="str">
        <f>Annee4</f>
        <v>Année 4</v>
      </c>
      <c r="AF20" s="181" t="s">
        <v>256</v>
      </c>
      <c r="AG20" s="4" t="s">
        <v>59</v>
      </c>
      <c r="AI20" s="3" t="str">
        <f>Annee0</f>
        <v>Année 0</v>
      </c>
      <c r="AJ20" s="3" t="str">
        <f>Annee1</f>
        <v>Année 1</v>
      </c>
      <c r="AK20" s="3" t="str">
        <f>Annee2</f>
        <v>Année 2</v>
      </c>
      <c r="AL20" s="516" t="str">
        <f>Annee3</f>
        <v>Année 3</v>
      </c>
      <c r="AM20" s="121" t="str">
        <f>Annee4</f>
        <v>Année 4</v>
      </c>
      <c r="AN20" s="181" t="s">
        <v>256</v>
      </c>
      <c r="AO20" s="4" t="s">
        <v>59</v>
      </c>
      <c r="AQ20" s="3" t="str">
        <f>Annee0</f>
        <v>Année 0</v>
      </c>
      <c r="AR20" s="3" t="str">
        <f>Annee1</f>
        <v>Année 1</v>
      </c>
      <c r="AS20" s="3" t="str">
        <f>Annee2</f>
        <v>Année 2</v>
      </c>
      <c r="AT20" s="516" t="str">
        <f>Annee3</f>
        <v>Année 3</v>
      </c>
      <c r="AU20" s="121" t="str">
        <f>Annee4</f>
        <v>Année 4</v>
      </c>
      <c r="AV20" s="515" t="s">
        <v>256</v>
      </c>
      <c r="AW20" s="514" t="s">
        <v>59</v>
      </c>
      <c r="AY20" s="3" t="str">
        <f>Annee0</f>
        <v>Année 0</v>
      </c>
      <c r="AZ20" s="3" t="str">
        <f>Annee1</f>
        <v>Année 1</v>
      </c>
      <c r="BA20" s="3" t="str">
        <f>Annee2</f>
        <v>Année 2</v>
      </c>
      <c r="BB20" s="516" t="str">
        <f>Annee3</f>
        <v>Année 3</v>
      </c>
      <c r="BC20" s="121" t="str">
        <f>Annee4</f>
        <v>Année 4</v>
      </c>
      <c r="BD20" s="515" t="s">
        <v>256</v>
      </c>
      <c r="BE20" s="514" t="s">
        <v>59</v>
      </c>
      <c r="BG20" s="3" t="str">
        <f>Annee0</f>
        <v>Année 0</v>
      </c>
      <c r="BH20" s="3" t="str">
        <f>Annee1</f>
        <v>Année 1</v>
      </c>
      <c r="BI20" s="3" t="str">
        <f>Annee2</f>
        <v>Année 2</v>
      </c>
      <c r="BJ20" s="516" t="str">
        <f>Annee3</f>
        <v>Année 3</v>
      </c>
      <c r="BK20" s="121" t="str">
        <f>Annee4</f>
        <v>Année 4</v>
      </c>
      <c r="BL20" s="515" t="s">
        <v>256</v>
      </c>
      <c r="BM20" s="514" t="s">
        <v>59</v>
      </c>
      <c r="BO20" s="663" t="s">
        <v>290</v>
      </c>
    </row>
    <row r="21" spans="1:67" x14ac:dyDescent="0.35">
      <c r="A21" s="669"/>
      <c r="B21" s="656"/>
      <c r="C21" s="77">
        <v>12</v>
      </c>
      <c r="D21" s="77">
        <v>12</v>
      </c>
      <c r="E21" s="77">
        <v>12</v>
      </c>
      <c r="F21" s="77">
        <v>12</v>
      </c>
      <c r="G21" s="183">
        <v>12</v>
      </c>
      <c r="H21" s="78">
        <f t="shared" ref="H21:H36" si="18">IFERROR(AVERAGE(C21:G21),0)</f>
        <v>12</v>
      </c>
      <c r="I21" s="78">
        <f t="shared" ref="I21:I36" si="19">SUM(C21:G21)</f>
        <v>60</v>
      </c>
      <c r="K21" s="77">
        <v>12</v>
      </c>
      <c r="L21" s="77">
        <v>12</v>
      </c>
      <c r="M21" s="77">
        <v>12</v>
      </c>
      <c r="N21" s="77">
        <v>12</v>
      </c>
      <c r="O21" s="183">
        <v>12</v>
      </c>
      <c r="P21" s="78">
        <f t="shared" ref="P21:P36" si="20">IFERROR(AVERAGE(K21:O21),0)</f>
        <v>12</v>
      </c>
      <c r="Q21" s="78">
        <f t="shared" ref="Q21:Q36" si="21">SUM(K21:O21)</f>
        <v>60</v>
      </c>
      <c r="S21" s="77">
        <v>12</v>
      </c>
      <c r="T21" s="77">
        <v>12</v>
      </c>
      <c r="U21" s="77">
        <v>12</v>
      </c>
      <c r="V21" s="77">
        <v>12</v>
      </c>
      <c r="W21" s="183">
        <v>12</v>
      </c>
      <c r="X21" s="78">
        <f t="shared" ref="X21:X36" si="22">IFERROR(AVERAGE(S21:W21),0)</f>
        <v>12</v>
      </c>
      <c r="Y21" s="78">
        <f t="shared" ref="Y21:Y36" si="23">SUM(S21:W21)</f>
        <v>60</v>
      </c>
      <c r="AA21" s="77">
        <v>12</v>
      </c>
      <c r="AB21" s="77">
        <v>12</v>
      </c>
      <c r="AC21" s="77">
        <v>12</v>
      </c>
      <c r="AD21" s="77">
        <v>12</v>
      </c>
      <c r="AE21" s="183">
        <v>12</v>
      </c>
      <c r="AF21" s="78">
        <f t="shared" ref="AF21:AF36" si="24">IFERROR(AVERAGE(AA21:AE21),0)</f>
        <v>12</v>
      </c>
      <c r="AG21" s="78">
        <f t="shared" ref="AG21:AG36" si="25">SUM(AA21:AE21)</f>
        <v>60</v>
      </c>
      <c r="AI21" s="77">
        <v>12</v>
      </c>
      <c r="AJ21" s="77">
        <v>12</v>
      </c>
      <c r="AK21" s="77">
        <v>12</v>
      </c>
      <c r="AL21" s="77">
        <v>12</v>
      </c>
      <c r="AM21" s="183">
        <v>12</v>
      </c>
      <c r="AN21" s="78">
        <f t="shared" ref="AN21:AN36" si="26">IFERROR(AVERAGE(AI21:AM21),0)</f>
        <v>12</v>
      </c>
      <c r="AO21" s="78">
        <f t="shared" ref="AO21:AO36" si="27">SUM(AI21:AM21)</f>
        <v>60</v>
      </c>
      <c r="AQ21" s="77">
        <v>12</v>
      </c>
      <c r="AR21" s="77">
        <v>12</v>
      </c>
      <c r="AS21" s="77">
        <v>12</v>
      </c>
      <c r="AT21" s="77">
        <v>12</v>
      </c>
      <c r="AU21" s="183">
        <v>12</v>
      </c>
      <c r="AV21" s="78">
        <f t="shared" ref="AV21:AV36" si="28">IFERROR(AVERAGE(AQ21:AU21),0)</f>
        <v>12</v>
      </c>
      <c r="AW21" s="78">
        <f t="shared" ref="AW21:AW36" si="29">SUM(AQ21:AU21)</f>
        <v>60</v>
      </c>
      <c r="AY21" s="77">
        <v>12</v>
      </c>
      <c r="AZ21" s="77">
        <v>12</v>
      </c>
      <c r="BA21" s="77">
        <v>12</v>
      </c>
      <c r="BB21" s="77">
        <v>12</v>
      </c>
      <c r="BC21" s="183">
        <v>12</v>
      </c>
      <c r="BD21" s="78">
        <f t="shared" ref="BD21:BD36" si="30">IFERROR(AVERAGE(AY21:BC21),0)</f>
        <v>12</v>
      </c>
      <c r="BE21" s="78">
        <f t="shared" ref="BE21:BE36" si="31">SUM(AY21:BC21)</f>
        <v>60</v>
      </c>
      <c r="BG21" s="77">
        <v>12</v>
      </c>
      <c r="BH21" s="77">
        <v>12</v>
      </c>
      <c r="BI21" s="77">
        <v>12</v>
      </c>
      <c r="BJ21" s="77">
        <v>12</v>
      </c>
      <c r="BK21" s="183">
        <v>12</v>
      </c>
      <c r="BL21" s="78">
        <f t="shared" ref="BL21:BL36" si="32">IFERROR(AVERAGE(BG21:BK21),0)</f>
        <v>12</v>
      </c>
      <c r="BM21" s="78">
        <f t="shared" ref="BM21:BM36" si="33">SUM(BG21:BK21)</f>
        <v>60</v>
      </c>
      <c r="BO21" s="663"/>
    </row>
    <row r="22" spans="1:67" x14ac:dyDescent="0.35">
      <c r="A22" s="21" t="s">
        <v>205</v>
      </c>
      <c r="B22" s="151"/>
      <c r="C22" s="474"/>
      <c r="D22" s="223">
        <f t="shared" ref="D22:G22" si="34">SUM(D23:D28)</f>
        <v>21592387.048170984</v>
      </c>
      <c r="E22" s="223">
        <f t="shared" si="34"/>
        <v>21663759.149797</v>
      </c>
      <c r="F22" s="223">
        <f>SUM(F23:F28)</f>
        <v>21937271.478813648</v>
      </c>
      <c r="G22" s="224">
        <f t="shared" si="34"/>
        <v>22053488.684715346</v>
      </c>
      <c r="H22" s="223">
        <f t="shared" si="18"/>
        <v>21811726.590374246</v>
      </c>
      <c r="I22" s="226">
        <f t="shared" si="19"/>
        <v>87246906.361496985</v>
      </c>
      <c r="K22" s="474"/>
      <c r="L22" s="223">
        <f>SUM(L23:L28)</f>
        <v>9384347.7239326276</v>
      </c>
      <c r="M22" s="223">
        <f t="shared" ref="M22:O22" si="35">SUM(M23:M28)</f>
        <v>9417473.0029478278</v>
      </c>
      <c r="N22" s="223">
        <f t="shared" ref="N22" si="36">SUM(N23:N28)</f>
        <v>9544415.7719901148</v>
      </c>
      <c r="O22" s="224">
        <f t="shared" si="35"/>
        <v>9598354.5980041418</v>
      </c>
      <c r="P22" s="223">
        <f t="shared" si="20"/>
        <v>9486147.7742186766</v>
      </c>
      <c r="Q22" s="226">
        <f t="shared" si="21"/>
        <v>37944591.096874706</v>
      </c>
      <c r="S22" s="474"/>
      <c r="T22" s="223">
        <f t="shared" ref="T22:W22" si="37">SUM(T23:T28)</f>
        <v>5428604.3851992004</v>
      </c>
      <c r="U22" s="223">
        <f t="shared" si="37"/>
        <v>5447766.5092181424</v>
      </c>
      <c r="V22" s="223">
        <f t="shared" si="37"/>
        <v>5521199.6441535465</v>
      </c>
      <c r="W22" s="224">
        <f t="shared" si="37"/>
        <v>5552401.8711006008</v>
      </c>
      <c r="X22" s="223">
        <f t="shared" si="22"/>
        <v>5487493.1024178723</v>
      </c>
      <c r="Y22" s="226">
        <f t="shared" si="23"/>
        <v>21949972.409671489</v>
      </c>
      <c r="AA22" s="474"/>
      <c r="AB22" s="223">
        <f t="shared" ref="AB22:AE22" si="38">SUM(AB23:AB28)</f>
        <v>1834044.4226825137</v>
      </c>
      <c r="AC22" s="223">
        <f t="shared" si="38"/>
        <v>1840518.3125057453</v>
      </c>
      <c r="AD22" s="223">
        <f t="shared" si="38"/>
        <v>1865327.567705031</v>
      </c>
      <c r="AE22" s="224">
        <f t="shared" si="38"/>
        <v>1875869.1850797557</v>
      </c>
      <c r="AF22" s="223">
        <f t="shared" si="24"/>
        <v>1853939.8719932614</v>
      </c>
      <c r="AG22" s="226">
        <f t="shared" si="25"/>
        <v>7415759.4879730456</v>
      </c>
      <c r="AI22" s="474"/>
      <c r="AJ22" s="223">
        <f t="shared" ref="AJ22:AM22" si="39">SUM(AJ23:AJ28)</f>
        <v>1841183.6244389899</v>
      </c>
      <c r="AK22" s="223">
        <f t="shared" si="39"/>
        <v>1847682.7145272889</v>
      </c>
      <c r="AL22" s="223">
        <f t="shared" si="39"/>
        <v>1872588.5422392713</v>
      </c>
      <c r="AM22" s="224">
        <f t="shared" si="39"/>
        <v>1883171.1939162989</v>
      </c>
      <c r="AN22" s="223">
        <f t="shared" si="26"/>
        <v>1861156.5187804624</v>
      </c>
      <c r="AO22" s="226">
        <f t="shared" si="27"/>
        <v>7444626.0751218498</v>
      </c>
      <c r="AQ22" s="474"/>
      <c r="AR22" s="223">
        <f t="shared" ref="AR22:AU22" si="40">SUM(AR23:AR28)</f>
        <v>974397.62981733517</v>
      </c>
      <c r="AS22" s="223">
        <f t="shared" si="40"/>
        <v>974397.62981733517</v>
      </c>
      <c r="AT22" s="223">
        <f t="shared" si="40"/>
        <v>974397.62981733517</v>
      </c>
      <c r="AU22" s="224">
        <f t="shared" si="40"/>
        <v>974397.62981733517</v>
      </c>
      <c r="AV22" s="223">
        <f t="shared" si="28"/>
        <v>974397.62981733517</v>
      </c>
      <c r="AW22" s="226">
        <f t="shared" si="29"/>
        <v>3897590.5192693407</v>
      </c>
      <c r="AY22" s="474"/>
      <c r="AZ22" s="223">
        <f t="shared" ref="AZ22:BC22" si="41">SUM(AZ23:AZ28)</f>
        <v>1731441.8170142113</v>
      </c>
      <c r="BA22" s="223">
        <f t="shared" si="41"/>
        <v>1737553.5356945531</v>
      </c>
      <c r="BB22" s="223">
        <f t="shared" si="41"/>
        <v>1760974.8778222387</v>
      </c>
      <c r="BC22" s="224">
        <f t="shared" si="41"/>
        <v>1770926.7617111066</v>
      </c>
      <c r="BD22" s="223">
        <f t="shared" si="30"/>
        <v>1750224.2480605275</v>
      </c>
      <c r="BE22" s="226">
        <f t="shared" si="31"/>
        <v>7000896.99224211</v>
      </c>
      <c r="BG22" s="474"/>
      <c r="BH22" s="223">
        <f t="shared" ref="BH22:BK22" si="42">SUM(BH23:BH28)</f>
        <v>398367.44508610549</v>
      </c>
      <c r="BI22" s="223">
        <f t="shared" si="42"/>
        <v>398367.44508610549</v>
      </c>
      <c r="BJ22" s="223">
        <f t="shared" si="42"/>
        <v>398367.44508610549</v>
      </c>
      <c r="BK22" s="224">
        <f t="shared" si="42"/>
        <v>398367.44508610549</v>
      </c>
      <c r="BL22" s="223">
        <f t="shared" si="32"/>
        <v>398367.44508610549</v>
      </c>
      <c r="BM22" s="226">
        <f t="shared" si="33"/>
        <v>1593469.780344422</v>
      </c>
      <c r="BO22" s="190"/>
    </row>
    <row r="23" spans="1:67" x14ac:dyDescent="0.35">
      <c r="A23" s="25" t="s">
        <v>1</v>
      </c>
      <c r="B23" s="12">
        <f>IFERROR(I23/(I$7+I$9),"-")</f>
        <v>1.4556100177690885</v>
      </c>
      <c r="C23" s="472"/>
      <c r="D23" s="312">
        <f t="shared" ref="D23:G28" si="43">SUMIFS($K23:$BM23,$K$5:$BM$5,D$5)</f>
        <v>8934946.1280936506</v>
      </c>
      <c r="E23" s="361">
        <f t="shared" si="43"/>
        <v>9011084.7562300079</v>
      </c>
      <c r="F23" s="361">
        <f t="shared" si="43"/>
        <v>9172051.7500595842</v>
      </c>
      <c r="G23" s="362">
        <f t="shared" si="43"/>
        <v>9268160.5859754011</v>
      </c>
      <c r="H23" s="214">
        <f t="shared" si="18"/>
        <v>9096560.80508966</v>
      </c>
      <c r="I23" s="14">
        <f t="shared" si="19"/>
        <v>36386243.22035864</v>
      </c>
      <c r="K23" s="472"/>
      <c r="L23" s="312">
        <v>3879789.6240891516</v>
      </c>
      <c r="M23" s="361">
        <v>3915127.1473425259</v>
      </c>
      <c r="N23" s="361">
        <v>3989835.2820529561</v>
      </c>
      <c r="O23" s="362">
        <v>4034441.3947077258</v>
      </c>
      <c r="P23" s="214">
        <f t="shared" si="20"/>
        <v>3954798.36204809</v>
      </c>
      <c r="Q23" s="14">
        <f t="shared" si="21"/>
        <v>15819193.44819236</v>
      </c>
      <c r="S23" s="472"/>
      <c r="T23" s="312">
        <v>2244358.7542336402</v>
      </c>
      <c r="U23" s="361">
        <v>2264800.6047850768</v>
      </c>
      <c r="V23" s="361">
        <v>2308017.343937315</v>
      </c>
      <c r="W23" s="362">
        <v>2333820.8356543602</v>
      </c>
      <c r="X23" s="214">
        <f t="shared" si="22"/>
        <v>2287749.3846525978</v>
      </c>
      <c r="Y23" s="14">
        <f t="shared" si="23"/>
        <v>9150997.5386103913</v>
      </c>
      <c r="AA23" s="472"/>
      <c r="AB23" s="312">
        <v>758252.64904615772</v>
      </c>
      <c r="AC23" s="361">
        <v>765158.89222265256</v>
      </c>
      <c r="AD23" s="361">
        <v>779759.59136823588</v>
      </c>
      <c r="AE23" s="362">
        <v>788477.25556170882</v>
      </c>
      <c r="AF23" s="214">
        <f t="shared" si="24"/>
        <v>772912.0970496888</v>
      </c>
      <c r="AG23" s="14">
        <f t="shared" si="25"/>
        <v>3091648.3881987552</v>
      </c>
      <c r="AI23" s="472"/>
      <c r="AJ23" s="312">
        <v>761204.22348839801</v>
      </c>
      <c r="AK23" s="361">
        <v>768137.34990872617</v>
      </c>
      <c r="AL23" s="361">
        <v>782794.88373928051</v>
      </c>
      <c r="AM23" s="362">
        <v>791546.48231446894</v>
      </c>
      <c r="AN23" s="214">
        <f t="shared" si="26"/>
        <v>775920.73486271838</v>
      </c>
      <c r="AO23" s="14">
        <f t="shared" si="27"/>
        <v>3103682.9394508735</v>
      </c>
      <c r="AQ23" s="472"/>
      <c r="AR23" s="312">
        <v>408498.93723296258</v>
      </c>
      <c r="AS23" s="361">
        <v>408498.93723296258</v>
      </c>
      <c r="AT23" s="361">
        <v>408498.93723296258</v>
      </c>
      <c r="AU23" s="362">
        <v>408498.93723296258</v>
      </c>
      <c r="AV23" s="214">
        <f t="shared" si="28"/>
        <v>408498.93723296258</v>
      </c>
      <c r="AW23" s="14">
        <f t="shared" si="29"/>
        <v>1633995.7489318503</v>
      </c>
      <c r="AY23" s="472"/>
      <c r="AZ23" s="312">
        <v>715833.44884312304</v>
      </c>
      <c r="BA23" s="361">
        <v>722353.33357784629</v>
      </c>
      <c r="BB23" s="361">
        <v>736137.22056861571</v>
      </c>
      <c r="BC23" s="362">
        <v>744367.18934395746</v>
      </c>
      <c r="BD23" s="214">
        <f t="shared" si="30"/>
        <v>729672.79808338569</v>
      </c>
      <c r="BE23" s="14">
        <f t="shared" si="31"/>
        <v>2918691.1923335427</v>
      </c>
      <c r="BG23" s="472"/>
      <c r="BH23" s="312">
        <v>167008.49116021686</v>
      </c>
      <c r="BI23" s="361">
        <v>167008.49116021686</v>
      </c>
      <c r="BJ23" s="361">
        <v>167008.49116021686</v>
      </c>
      <c r="BK23" s="362">
        <v>167008.49116021686</v>
      </c>
      <c r="BL23" s="214">
        <f t="shared" si="32"/>
        <v>167008.49116021686</v>
      </c>
      <c r="BM23" s="14">
        <f t="shared" si="33"/>
        <v>668033.96464086743</v>
      </c>
      <c r="BO23" s="189" t="s">
        <v>300</v>
      </c>
    </row>
    <row r="24" spans="1:67" x14ac:dyDescent="0.35">
      <c r="A24" s="25" t="s">
        <v>163</v>
      </c>
      <c r="B24" s="12">
        <f>IFERROR(I24/(I$7+I$9),"-")</f>
        <v>2.0346505774247472</v>
      </c>
      <c r="C24" s="472"/>
      <c r="D24" s="312">
        <f t="shared" si="43"/>
        <v>12657440.920077335</v>
      </c>
      <c r="E24" s="361">
        <f t="shared" si="43"/>
        <v>12652674.393566992</v>
      </c>
      <c r="F24" s="361">
        <f t="shared" si="43"/>
        <v>12765219.728754062</v>
      </c>
      <c r="G24" s="362">
        <f t="shared" si="43"/>
        <v>12785328.098739946</v>
      </c>
      <c r="H24" s="214">
        <f t="shared" si="18"/>
        <v>12715165.785284584</v>
      </c>
      <c r="I24" s="14">
        <f t="shared" si="19"/>
        <v>50860663.141138338</v>
      </c>
      <c r="K24" s="472"/>
      <c r="L24" s="312">
        <v>5504558.099843475</v>
      </c>
      <c r="M24" s="361">
        <v>5502345.8556053024</v>
      </c>
      <c r="N24" s="361">
        <v>5554580.4899371592</v>
      </c>
      <c r="O24" s="362">
        <v>5563913.2032964155</v>
      </c>
      <c r="P24" s="214">
        <f t="shared" si="20"/>
        <v>5531349.412170588</v>
      </c>
      <c r="Q24" s="14">
        <f t="shared" si="21"/>
        <v>22125397.648682352</v>
      </c>
      <c r="S24" s="472"/>
      <c r="T24" s="312">
        <v>3184245.6309655607</v>
      </c>
      <c r="U24" s="361">
        <v>3182965.9044330656</v>
      </c>
      <c r="V24" s="361">
        <v>3213182.300216231</v>
      </c>
      <c r="W24" s="362">
        <v>3218581.035446241</v>
      </c>
      <c r="X24" s="214">
        <f t="shared" si="22"/>
        <v>3199743.7177652749</v>
      </c>
      <c r="Y24" s="14">
        <f t="shared" si="23"/>
        <v>12798974.8710611</v>
      </c>
      <c r="AA24" s="472"/>
      <c r="AB24" s="312">
        <v>1075791.773636356</v>
      </c>
      <c r="AC24" s="361">
        <v>1075359.4202830927</v>
      </c>
      <c r="AD24" s="361">
        <v>1085567.9763367951</v>
      </c>
      <c r="AE24" s="362">
        <v>1087391.9295180468</v>
      </c>
      <c r="AF24" s="214">
        <f t="shared" si="24"/>
        <v>1081027.7749435727</v>
      </c>
      <c r="AG24" s="14">
        <f t="shared" si="25"/>
        <v>4324111.0997742908</v>
      </c>
      <c r="AI24" s="472"/>
      <c r="AJ24" s="312">
        <v>1079979.400950592</v>
      </c>
      <c r="AK24" s="361">
        <v>1079545.3646185626</v>
      </c>
      <c r="AL24" s="361">
        <v>1089793.6584999908</v>
      </c>
      <c r="AM24" s="362">
        <v>1091624.7116018301</v>
      </c>
      <c r="AN24" s="214">
        <f t="shared" si="26"/>
        <v>1085235.7839177439</v>
      </c>
      <c r="AO24" s="14">
        <f t="shared" si="27"/>
        <v>4340943.1356709758</v>
      </c>
      <c r="AQ24" s="472"/>
      <c r="AR24" s="312">
        <v>565898.69258437259</v>
      </c>
      <c r="AS24" s="361">
        <v>565898.69258437259</v>
      </c>
      <c r="AT24" s="361">
        <v>565898.69258437259</v>
      </c>
      <c r="AU24" s="362">
        <v>565898.69258437259</v>
      </c>
      <c r="AV24" s="214">
        <f t="shared" si="28"/>
        <v>565898.69258437259</v>
      </c>
      <c r="AW24" s="14">
        <f t="shared" si="29"/>
        <v>2263594.7703374904</v>
      </c>
      <c r="AY24" s="472"/>
      <c r="AZ24" s="312">
        <v>1015608.3681710883</v>
      </c>
      <c r="BA24" s="361">
        <v>1015200.2021167066</v>
      </c>
      <c r="BB24" s="361">
        <v>1024837.657253623</v>
      </c>
      <c r="BC24" s="362">
        <v>1026559.5723671492</v>
      </c>
      <c r="BD24" s="214">
        <f t="shared" si="30"/>
        <v>1020551.4499771418</v>
      </c>
      <c r="BE24" s="14">
        <f t="shared" si="31"/>
        <v>4082205.7999085672</v>
      </c>
      <c r="BG24" s="472"/>
      <c r="BH24" s="312">
        <v>231358.95392588867</v>
      </c>
      <c r="BI24" s="361">
        <v>231358.95392588867</v>
      </c>
      <c r="BJ24" s="361">
        <v>231358.95392588867</v>
      </c>
      <c r="BK24" s="362">
        <v>231358.95392588867</v>
      </c>
      <c r="BL24" s="214">
        <f t="shared" si="32"/>
        <v>231358.95392588867</v>
      </c>
      <c r="BM24" s="14">
        <f t="shared" si="33"/>
        <v>925435.81570355466</v>
      </c>
      <c r="BO24" s="189" t="s">
        <v>433</v>
      </c>
    </row>
    <row r="25" spans="1:67" x14ac:dyDescent="0.35">
      <c r="A25" s="25" t="s">
        <v>2</v>
      </c>
      <c r="B25" s="12">
        <f>IFERROR(I25/(I$7+I$9),"-")</f>
        <v>0</v>
      </c>
      <c r="C25" s="472"/>
      <c r="D25" s="312">
        <f t="shared" si="43"/>
        <v>0</v>
      </c>
      <c r="E25" s="361">
        <f t="shared" si="43"/>
        <v>0</v>
      </c>
      <c r="F25" s="361">
        <f t="shared" si="43"/>
        <v>0</v>
      </c>
      <c r="G25" s="362">
        <f t="shared" si="43"/>
        <v>0</v>
      </c>
      <c r="H25" s="214">
        <f t="shared" si="18"/>
        <v>0</v>
      </c>
      <c r="I25" s="14">
        <f t="shared" si="19"/>
        <v>0</v>
      </c>
      <c r="K25" s="472"/>
      <c r="L25" s="312">
        <v>0</v>
      </c>
      <c r="M25" s="361">
        <v>0</v>
      </c>
      <c r="N25" s="361">
        <v>0</v>
      </c>
      <c r="O25" s="362">
        <v>0</v>
      </c>
      <c r="P25" s="214">
        <f t="shared" si="20"/>
        <v>0</v>
      </c>
      <c r="Q25" s="14">
        <f t="shared" si="21"/>
        <v>0</v>
      </c>
      <c r="S25" s="472"/>
      <c r="T25" s="312">
        <v>0</v>
      </c>
      <c r="U25" s="361">
        <v>0</v>
      </c>
      <c r="V25" s="361">
        <v>0</v>
      </c>
      <c r="W25" s="362">
        <v>0</v>
      </c>
      <c r="X25" s="214">
        <f t="shared" si="22"/>
        <v>0</v>
      </c>
      <c r="Y25" s="14">
        <f t="shared" si="23"/>
        <v>0</v>
      </c>
      <c r="AA25" s="472"/>
      <c r="AB25" s="312">
        <v>0</v>
      </c>
      <c r="AC25" s="361">
        <v>0</v>
      </c>
      <c r="AD25" s="361">
        <v>0</v>
      </c>
      <c r="AE25" s="362">
        <v>0</v>
      </c>
      <c r="AF25" s="214">
        <f t="shared" si="24"/>
        <v>0</v>
      </c>
      <c r="AG25" s="14">
        <f t="shared" si="25"/>
        <v>0</v>
      </c>
      <c r="AI25" s="472"/>
      <c r="AJ25" s="312">
        <v>0</v>
      </c>
      <c r="AK25" s="361">
        <v>0</v>
      </c>
      <c r="AL25" s="361">
        <v>0</v>
      </c>
      <c r="AM25" s="362">
        <v>0</v>
      </c>
      <c r="AN25" s="214">
        <f t="shared" si="26"/>
        <v>0</v>
      </c>
      <c r="AO25" s="14">
        <f t="shared" si="27"/>
        <v>0</v>
      </c>
      <c r="AQ25" s="472"/>
      <c r="AR25" s="312">
        <v>0</v>
      </c>
      <c r="AS25" s="361">
        <v>0</v>
      </c>
      <c r="AT25" s="361">
        <v>0</v>
      </c>
      <c r="AU25" s="362">
        <v>0</v>
      </c>
      <c r="AV25" s="214">
        <f t="shared" si="28"/>
        <v>0</v>
      </c>
      <c r="AW25" s="14">
        <f t="shared" si="29"/>
        <v>0</v>
      </c>
      <c r="AY25" s="472"/>
      <c r="AZ25" s="312">
        <v>0</v>
      </c>
      <c r="BA25" s="361">
        <v>0</v>
      </c>
      <c r="BB25" s="361">
        <v>0</v>
      </c>
      <c r="BC25" s="362">
        <v>0</v>
      </c>
      <c r="BD25" s="214">
        <f t="shared" si="30"/>
        <v>0</v>
      </c>
      <c r="BE25" s="14">
        <f t="shared" si="31"/>
        <v>0</v>
      </c>
      <c r="BG25" s="472"/>
      <c r="BH25" s="312">
        <v>0</v>
      </c>
      <c r="BI25" s="361">
        <v>0</v>
      </c>
      <c r="BJ25" s="361">
        <v>0</v>
      </c>
      <c r="BK25" s="362">
        <v>0</v>
      </c>
      <c r="BL25" s="214">
        <f t="shared" si="32"/>
        <v>0</v>
      </c>
      <c r="BM25" s="14">
        <f t="shared" si="33"/>
        <v>0</v>
      </c>
      <c r="BO25" s="189" t="s">
        <v>297</v>
      </c>
    </row>
    <row r="26" spans="1:67" x14ac:dyDescent="0.35">
      <c r="A26" s="170" t="s">
        <v>374</v>
      </c>
      <c r="B26" s="356">
        <f>IFERROR(I26/I$11,"-")</f>
        <v>0</v>
      </c>
      <c r="C26" s="475"/>
      <c r="D26" s="361">
        <f t="shared" si="43"/>
        <v>0</v>
      </c>
      <c r="E26" s="361">
        <f t="shared" si="43"/>
        <v>0</v>
      </c>
      <c r="F26" s="361">
        <f t="shared" si="43"/>
        <v>0</v>
      </c>
      <c r="G26" s="362">
        <f t="shared" si="43"/>
        <v>0</v>
      </c>
      <c r="H26" s="214">
        <f t="shared" si="18"/>
        <v>0</v>
      </c>
      <c r="I26" s="14">
        <f t="shared" si="19"/>
        <v>0</v>
      </c>
      <c r="K26" s="475"/>
      <c r="L26" s="361">
        <v>0</v>
      </c>
      <c r="M26" s="361">
        <v>0</v>
      </c>
      <c r="N26" s="361">
        <v>0</v>
      </c>
      <c r="O26" s="362">
        <v>0</v>
      </c>
      <c r="P26" s="214">
        <f t="shared" si="20"/>
        <v>0</v>
      </c>
      <c r="Q26" s="14">
        <f t="shared" si="21"/>
        <v>0</v>
      </c>
      <c r="S26" s="475"/>
      <c r="T26" s="361">
        <v>0</v>
      </c>
      <c r="U26" s="361">
        <v>0</v>
      </c>
      <c r="V26" s="361">
        <v>0</v>
      </c>
      <c r="W26" s="362">
        <v>0</v>
      </c>
      <c r="X26" s="214">
        <f t="shared" si="22"/>
        <v>0</v>
      </c>
      <c r="Y26" s="14">
        <f t="shared" si="23"/>
        <v>0</v>
      </c>
      <c r="AA26" s="475"/>
      <c r="AB26" s="361">
        <v>0</v>
      </c>
      <c r="AC26" s="361">
        <v>0</v>
      </c>
      <c r="AD26" s="361">
        <v>0</v>
      </c>
      <c r="AE26" s="362">
        <v>0</v>
      </c>
      <c r="AF26" s="214">
        <f t="shared" si="24"/>
        <v>0</v>
      </c>
      <c r="AG26" s="14">
        <f t="shared" si="25"/>
        <v>0</v>
      </c>
      <c r="AI26" s="475"/>
      <c r="AJ26" s="361">
        <v>0</v>
      </c>
      <c r="AK26" s="361">
        <v>0</v>
      </c>
      <c r="AL26" s="361">
        <v>0</v>
      </c>
      <c r="AM26" s="362">
        <v>0</v>
      </c>
      <c r="AN26" s="214">
        <f t="shared" si="26"/>
        <v>0</v>
      </c>
      <c r="AO26" s="14">
        <f t="shared" si="27"/>
        <v>0</v>
      </c>
      <c r="AQ26" s="475"/>
      <c r="AR26" s="361">
        <v>0</v>
      </c>
      <c r="AS26" s="361">
        <v>0</v>
      </c>
      <c r="AT26" s="361">
        <v>0</v>
      </c>
      <c r="AU26" s="362">
        <v>0</v>
      </c>
      <c r="AV26" s="214">
        <f t="shared" si="28"/>
        <v>0</v>
      </c>
      <c r="AW26" s="14">
        <f t="shared" si="29"/>
        <v>0</v>
      </c>
      <c r="AY26" s="475"/>
      <c r="AZ26" s="361">
        <v>0</v>
      </c>
      <c r="BA26" s="361">
        <v>0</v>
      </c>
      <c r="BB26" s="361">
        <v>0</v>
      </c>
      <c r="BC26" s="362">
        <v>0</v>
      </c>
      <c r="BD26" s="214">
        <f t="shared" si="30"/>
        <v>0</v>
      </c>
      <c r="BE26" s="14">
        <f t="shared" si="31"/>
        <v>0</v>
      </c>
      <c r="BG26" s="475"/>
      <c r="BH26" s="361">
        <v>0</v>
      </c>
      <c r="BI26" s="361">
        <v>0</v>
      </c>
      <c r="BJ26" s="361">
        <v>0</v>
      </c>
      <c r="BK26" s="362">
        <v>0</v>
      </c>
      <c r="BL26" s="214">
        <f t="shared" si="32"/>
        <v>0</v>
      </c>
      <c r="BM26" s="14">
        <f t="shared" si="33"/>
        <v>0</v>
      </c>
      <c r="BO26" s="189"/>
    </row>
    <row r="27" spans="1:67" x14ac:dyDescent="0.35">
      <c r="A27" s="170" t="s">
        <v>453</v>
      </c>
      <c r="B27" s="356" t="str">
        <f>IFERROR(I27/I$13,"-")</f>
        <v>-</v>
      </c>
      <c r="C27" s="475"/>
      <c r="D27" s="361">
        <f t="shared" si="43"/>
        <v>0</v>
      </c>
      <c r="E27" s="361">
        <f t="shared" si="43"/>
        <v>0</v>
      </c>
      <c r="F27" s="361">
        <f t="shared" si="43"/>
        <v>0</v>
      </c>
      <c r="G27" s="362">
        <f t="shared" si="43"/>
        <v>0</v>
      </c>
      <c r="H27" s="214">
        <f t="shared" si="18"/>
        <v>0</v>
      </c>
      <c r="I27" s="14">
        <f t="shared" si="19"/>
        <v>0</v>
      </c>
      <c r="K27" s="475"/>
      <c r="L27" s="361">
        <v>0</v>
      </c>
      <c r="M27" s="361">
        <v>0</v>
      </c>
      <c r="N27" s="361">
        <v>0</v>
      </c>
      <c r="O27" s="362">
        <v>0</v>
      </c>
      <c r="P27" s="214">
        <f t="shared" si="20"/>
        <v>0</v>
      </c>
      <c r="Q27" s="14">
        <f t="shared" si="21"/>
        <v>0</v>
      </c>
      <c r="S27" s="475"/>
      <c r="T27" s="361">
        <v>0</v>
      </c>
      <c r="U27" s="361">
        <v>0</v>
      </c>
      <c r="V27" s="361">
        <v>0</v>
      </c>
      <c r="W27" s="362">
        <v>0</v>
      </c>
      <c r="X27" s="214">
        <f t="shared" si="22"/>
        <v>0</v>
      </c>
      <c r="Y27" s="14">
        <f t="shared" si="23"/>
        <v>0</v>
      </c>
      <c r="AA27" s="475"/>
      <c r="AB27" s="361">
        <v>0</v>
      </c>
      <c r="AC27" s="361">
        <v>0</v>
      </c>
      <c r="AD27" s="361">
        <v>0</v>
      </c>
      <c r="AE27" s="362">
        <v>0</v>
      </c>
      <c r="AF27" s="214">
        <f t="shared" si="24"/>
        <v>0</v>
      </c>
      <c r="AG27" s="14">
        <f t="shared" si="25"/>
        <v>0</v>
      </c>
      <c r="AI27" s="475"/>
      <c r="AJ27" s="361">
        <v>0</v>
      </c>
      <c r="AK27" s="361">
        <v>0</v>
      </c>
      <c r="AL27" s="361">
        <v>0</v>
      </c>
      <c r="AM27" s="362">
        <v>0</v>
      </c>
      <c r="AN27" s="214">
        <f t="shared" si="26"/>
        <v>0</v>
      </c>
      <c r="AO27" s="14">
        <f t="shared" si="27"/>
        <v>0</v>
      </c>
      <c r="AQ27" s="475"/>
      <c r="AR27" s="361">
        <v>0</v>
      </c>
      <c r="AS27" s="361">
        <v>0</v>
      </c>
      <c r="AT27" s="361">
        <v>0</v>
      </c>
      <c r="AU27" s="362">
        <v>0</v>
      </c>
      <c r="AV27" s="214">
        <f t="shared" si="28"/>
        <v>0</v>
      </c>
      <c r="AW27" s="14">
        <f t="shared" si="29"/>
        <v>0</v>
      </c>
      <c r="AY27" s="475"/>
      <c r="AZ27" s="361">
        <v>0</v>
      </c>
      <c r="BA27" s="361">
        <v>0</v>
      </c>
      <c r="BB27" s="361">
        <v>0</v>
      </c>
      <c r="BC27" s="362">
        <v>0</v>
      </c>
      <c r="BD27" s="214">
        <f t="shared" si="30"/>
        <v>0</v>
      </c>
      <c r="BE27" s="14">
        <f t="shared" si="31"/>
        <v>0</v>
      </c>
      <c r="BG27" s="475"/>
      <c r="BH27" s="361">
        <v>0</v>
      </c>
      <c r="BI27" s="361">
        <v>0</v>
      </c>
      <c r="BJ27" s="361">
        <v>0</v>
      </c>
      <c r="BK27" s="362">
        <v>0</v>
      </c>
      <c r="BL27" s="214">
        <f t="shared" si="32"/>
        <v>0</v>
      </c>
      <c r="BM27" s="14">
        <f t="shared" si="33"/>
        <v>0</v>
      </c>
      <c r="BO27" s="189"/>
    </row>
    <row r="28" spans="1:67" x14ac:dyDescent="0.35">
      <c r="A28" s="170" t="s">
        <v>382</v>
      </c>
      <c r="B28" s="356" t="str">
        <f>IFERROR(I28/I$15,"-")</f>
        <v>-</v>
      </c>
      <c r="C28" s="475"/>
      <c r="D28" s="361">
        <f t="shared" si="43"/>
        <v>0</v>
      </c>
      <c r="E28" s="361">
        <f t="shared" si="43"/>
        <v>0</v>
      </c>
      <c r="F28" s="361">
        <f t="shared" si="43"/>
        <v>0</v>
      </c>
      <c r="G28" s="362">
        <f t="shared" si="43"/>
        <v>0</v>
      </c>
      <c r="H28" s="214">
        <f t="shared" si="18"/>
        <v>0</v>
      </c>
      <c r="I28" s="14">
        <f t="shared" si="19"/>
        <v>0</v>
      </c>
      <c r="K28" s="475"/>
      <c r="L28" s="361">
        <v>0</v>
      </c>
      <c r="M28" s="361">
        <v>0</v>
      </c>
      <c r="N28" s="361">
        <v>0</v>
      </c>
      <c r="O28" s="362">
        <v>0</v>
      </c>
      <c r="P28" s="214">
        <f t="shared" si="20"/>
        <v>0</v>
      </c>
      <c r="Q28" s="14">
        <f t="shared" si="21"/>
        <v>0</v>
      </c>
      <c r="S28" s="475"/>
      <c r="T28" s="361">
        <v>0</v>
      </c>
      <c r="U28" s="361">
        <v>0</v>
      </c>
      <c r="V28" s="361">
        <v>0</v>
      </c>
      <c r="W28" s="362">
        <v>0</v>
      </c>
      <c r="X28" s="214">
        <f t="shared" si="22"/>
        <v>0</v>
      </c>
      <c r="Y28" s="14">
        <f t="shared" si="23"/>
        <v>0</v>
      </c>
      <c r="AA28" s="475"/>
      <c r="AB28" s="361">
        <v>0</v>
      </c>
      <c r="AC28" s="361">
        <v>0</v>
      </c>
      <c r="AD28" s="361">
        <v>0</v>
      </c>
      <c r="AE28" s="362">
        <v>0</v>
      </c>
      <c r="AF28" s="214">
        <f t="shared" si="24"/>
        <v>0</v>
      </c>
      <c r="AG28" s="14">
        <f t="shared" si="25"/>
        <v>0</v>
      </c>
      <c r="AI28" s="475"/>
      <c r="AJ28" s="361">
        <v>0</v>
      </c>
      <c r="AK28" s="361">
        <v>0</v>
      </c>
      <c r="AL28" s="361">
        <v>0</v>
      </c>
      <c r="AM28" s="362">
        <v>0</v>
      </c>
      <c r="AN28" s="214">
        <f t="shared" si="26"/>
        <v>0</v>
      </c>
      <c r="AO28" s="14">
        <f t="shared" si="27"/>
        <v>0</v>
      </c>
      <c r="AQ28" s="475"/>
      <c r="AR28" s="361">
        <v>0</v>
      </c>
      <c r="AS28" s="361">
        <v>0</v>
      </c>
      <c r="AT28" s="361">
        <v>0</v>
      </c>
      <c r="AU28" s="362">
        <v>0</v>
      </c>
      <c r="AV28" s="214">
        <f t="shared" si="28"/>
        <v>0</v>
      </c>
      <c r="AW28" s="14">
        <f t="shared" si="29"/>
        <v>0</v>
      </c>
      <c r="AY28" s="475"/>
      <c r="AZ28" s="361">
        <v>0</v>
      </c>
      <c r="BA28" s="361">
        <v>0</v>
      </c>
      <c r="BB28" s="361">
        <v>0</v>
      </c>
      <c r="BC28" s="362">
        <v>0</v>
      </c>
      <c r="BD28" s="214">
        <f t="shared" si="30"/>
        <v>0</v>
      </c>
      <c r="BE28" s="14">
        <f t="shared" si="31"/>
        <v>0</v>
      </c>
      <c r="BG28" s="475"/>
      <c r="BH28" s="361">
        <v>0</v>
      </c>
      <c r="BI28" s="361">
        <v>0</v>
      </c>
      <c r="BJ28" s="361">
        <v>0</v>
      </c>
      <c r="BK28" s="362">
        <v>0</v>
      </c>
      <c r="BL28" s="214">
        <f t="shared" si="32"/>
        <v>0</v>
      </c>
      <c r="BM28" s="14">
        <f t="shared" si="33"/>
        <v>0</v>
      </c>
      <c r="BO28" s="189"/>
    </row>
    <row r="29" spans="1:67" x14ac:dyDescent="0.35">
      <c r="A29" s="105" t="s">
        <v>159</v>
      </c>
      <c r="B29" s="157"/>
      <c r="C29" s="474"/>
      <c r="D29" s="223">
        <f t="shared" ref="D29:E29" si="44">SUM(D30:D38)</f>
        <v>11315336.385543488</v>
      </c>
      <c r="E29" s="223">
        <f t="shared" si="44"/>
        <v>11360124.694020702</v>
      </c>
      <c r="F29" s="223">
        <f t="shared" ref="F29:G29" si="45">SUM(F30:F38)</f>
        <v>11531762.550903628</v>
      </c>
      <c r="G29" s="224">
        <f t="shared" si="45"/>
        <v>11604692.616709458</v>
      </c>
      <c r="H29" s="223">
        <f t="shared" si="18"/>
        <v>11452979.061794318</v>
      </c>
      <c r="I29" s="226">
        <f t="shared" si="19"/>
        <v>45811916.247177273</v>
      </c>
      <c r="K29" s="474"/>
      <c r="L29" s="223">
        <f t="shared" ref="L29:O29" si="46">SUM(L30:L38)</f>
        <v>4993217.0453290548</v>
      </c>
      <c r="M29" s="223">
        <f t="shared" si="46"/>
        <v>5010842.3201670889</v>
      </c>
      <c r="N29" s="223">
        <f t="shared" ref="N29" si="47">SUM(N30:N38)</f>
        <v>5078385.938201054</v>
      </c>
      <c r="O29" s="224">
        <f t="shared" si="46"/>
        <v>5107085.6702848738</v>
      </c>
      <c r="P29" s="223">
        <f t="shared" si="20"/>
        <v>5047382.7434955183</v>
      </c>
      <c r="Q29" s="226">
        <f t="shared" si="21"/>
        <v>20189530.973982073</v>
      </c>
      <c r="S29" s="474"/>
      <c r="T29" s="223">
        <f t="shared" ref="T29:W29" si="48">SUM(T30:T38)</f>
        <v>2874842.0282571847</v>
      </c>
      <c r="U29" s="223">
        <f t="shared" si="48"/>
        <v>2884989.7707654666</v>
      </c>
      <c r="V29" s="223">
        <f t="shared" si="48"/>
        <v>2923877.9725203332</v>
      </c>
      <c r="W29" s="224">
        <f t="shared" si="48"/>
        <v>2940401.827831503</v>
      </c>
      <c r="X29" s="223">
        <f t="shared" si="22"/>
        <v>2906027.899843622</v>
      </c>
      <c r="Y29" s="226">
        <f t="shared" si="23"/>
        <v>11624111.599374488</v>
      </c>
      <c r="AA29" s="474"/>
      <c r="AB29" s="223">
        <f t="shared" ref="AB29:AE29" si="49">SUM(AB30:AB38)</f>
        <v>975857.04863367253</v>
      </c>
      <c r="AC29" s="223">
        <f t="shared" si="49"/>
        <v>979301.6713145331</v>
      </c>
      <c r="AD29" s="223">
        <f t="shared" si="49"/>
        <v>992502.16213043395</v>
      </c>
      <c r="AE29" s="224">
        <f t="shared" si="49"/>
        <v>998111.13838635152</v>
      </c>
      <c r="AF29" s="223">
        <f t="shared" si="24"/>
        <v>986443.0051162478</v>
      </c>
      <c r="AG29" s="226">
        <f t="shared" si="25"/>
        <v>3945772.0204649912</v>
      </c>
      <c r="AI29" s="474"/>
      <c r="AJ29" s="223">
        <f t="shared" ref="AJ29:AM29" si="50">SUM(AJ30:AJ38)</f>
        <v>979655.67001356534</v>
      </c>
      <c r="AK29" s="223">
        <f t="shared" si="50"/>
        <v>983113.70123349375</v>
      </c>
      <c r="AL29" s="223">
        <f t="shared" si="50"/>
        <v>996365.57628308807</v>
      </c>
      <c r="AM29" s="224">
        <f t="shared" si="50"/>
        <v>1001996.386041315</v>
      </c>
      <c r="AN29" s="223">
        <f t="shared" si="26"/>
        <v>990282.83339286549</v>
      </c>
      <c r="AO29" s="226">
        <f t="shared" si="27"/>
        <v>3961131.333571462</v>
      </c>
      <c r="AQ29" s="474"/>
      <c r="AR29" s="223">
        <f t="shared" ref="AR29:AU29" si="51">SUM(AR30:AR38)</f>
        <v>422373.90853296052</v>
      </c>
      <c r="AS29" s="223">
        <f t="shared" si="51"/>
        <v>427305.22484392923</v>
      </c>
      <c r="AT29" s="223">
        <f t="shared" si="51"/>
        <v>446203.02634623501</v>
      </c>
      <c r="AU29" s="224">
        <f t="shared" si="51"/>
        <v>454232.82776754227</v>
      </c>
      <c r="AV29" s="223">
        <f t="shared" si="28"/>
        <v>437528.74687266676</v>
      </c>
      <c r="AW29" s="226">
        <f t="shared" si="29"/>
        <v>1750114.987490667</v>
      </c>
      <c r="AY29" s="474"/>
      <c r="AZ29" s="223">
        <f t="shared" ref="AZ29:BC29" si="52">SUM(AZ30:AZ38)</f>
        <v>921264.3273716931</v>
      </c>
      <c r="BA29" s="223">
        <f t="shared" si="52"/>
        <v>924516.24628909549</v>
      </c>
      <c r="BB29" s="223">
        <f t="shared" si="52"/>
        <v>936978.25730752735</v>
      </c>
      <c r="BC29" s="224">
        <f t="shared" si="52"/>
        <v>942273.44859080669</v>
      </c>
      <c r="BD29" s="223">
        <f t="shared" si="30"/>
        <v>931258.0698897806</v>
      </c>
      <c r="BE29" s="226">
        <f t="shared" si="31"/>
        <v>3725032.2795591224</v>
      </c>
      <c r="BG29" s="474"/>
      <c r="BH29" s="223">
        <f t="shared" ref="BH29:BK29" si="53">SUM(BH30:BH38)</f>
        <v>148126.35740535427</v>
      </c>
      <c r="BI29" s="223">
        <f t="shared" si="53"/>
        <v>150055.75940709631</v>
      </c>
      <c r="BJ29" s="223">
        <f t="shared" si="53"/>
        <v>157449.61811495747</v>
      </c>
      <c r="BK29" s="224">
        <f t="shared" si="53"/>
        <v>160591.31780706637</v>
      </c>
      <c r="BL29" s="223">
        <f t="shared" si="32"/>
        <v>154055.7631836186</v>
      </c>
      <c r="BM29" s="226">
        <f t="shared" si="33"/>
        <v>616223.05273447442</v>
      </c>
      <c r="BO29" s="190"/>
    </row>
    <row r="30" spans="1:67" x14ac:dyDescent="0.35">
      <c r="A30" s="32" t="s">
        <v>3</v>
      </c>
      <c r="B30" s="8"/>
      <c r="C30" s="472"/>
      <c r="D30" s="312">
        <f t="shared" ref="D30:G38" si="54">SUMIFS($K30:$BM30,$K$5:$BM$5,D$5)</f>
        <v>0</v>
      </c>
      <c r="E30" s="361">
        <f t="shared" si="54"/>
        <v>0</v>
      </c>
      <c r="F30" s="361">
        <f t="shared" si="54"/>
        <v>0</v>
      </c>
      <c r="G30" s="362">
        <f t="shared" si="54"/>
        <v>0</v>
      </c>
      <c r="H30" s="214">
        <f t="shared" si="18"/>
        <v>0</v>
      </c>
      <c r="I30" s="14">
        <f t="shared" si="19"/>
        <v>0</v>
      </c>
      <c r="K30" s="472"/>
      <c r="L30" s="312">
        <v>0</v>
      </c>
      <c r="M30" s="361">
        <v>0</v>
      </c>
      <c r="N30" s="361">
        <v>0</v>
      </c>
      <c r="O30" s="362">
        <v>0</v>
      </c>
      <c r="P30" s="214">
        <f t="shared" si="20"/>
        <v>0</v>
      </c>
      <c r="Q30" s="14">
        <f t="shared" si="21"/>
        <v>0</v>
      </c>
      <c r="S30" s="472"/>
      <c r="T30" s="312">
        <v>0</v>
      </c>
      <c r="U30" s="361">
        <v>0</v>
      </c>
      <c r="V30" s="361">
        <v>0</v>
      </c>
      <c r="W30" s="362">
        <v>0</v>
      </c>
      <c r="X30" s="214">
        <f t="shared" si="22"/>
        <v>0</v>
      </c>
      <c r="Y30" s="14">
        <f t="shared" si="23"/>
        <v>0</v>
      </c>
      <c r="AA30" s="472"/>
      <c r="AB30" s="312">
        <v>0</v>
      </c>
      <c r="AC30" s="361">
        <v>0</v>
      </c>
      <c r="AD30" s="361">
        <v>0</v>
      </c>
      <c r="AE30" s="362">
        <v>0</v>
      </c>
      <c r="AF30" s="214">
        <f t="shared" si="24"/>
        <v>0</v>
      </c>
      <c r="AG30" s="14">
        <f t="shared" si="25"/>
        <v>0</v>
      </c>
      <c r="AI30" s="472"/>
      <c r="AJ30" s="312">
        <v>0</v>
      </c>
      <c r="AK30" s="361">
        <v>0</v>
      </c>
      <c r="AL30" s="361">
        <v>0</v>
      </c>
      <c r="AM30" s="362">
        <v>0</v>
      </c>
      <c r="AN30" s="214">
        <f t="shared" si="26"/>
        <v>0</v>
      </c>
      <c r="AO30" s="14">
        <f t="shared" si="27"/>
        <v>0</v>
      </c>
      <c r="AQ30" s="472"/>
      <c r="AR30" s="312">
        <v>0</v>
      </c>
      <c r="AS30" s="361">
        <v>0</v>
      </c>
      <c r="AT30" s="361">
        <v>0</v>
      </c>
      <c r="AU30" s="362">
        <v>0</v>
      </c>
      <c r="AV30" s="214">
        <f t="shared" si="28"/>
        <v>0</v>
      </c>
      <c r="AW30" s="14">
        <f t="shared" si="29"/>
        <v>0</v>
      </c>
      <c r="AY30" s="472"/>
      <c r="AZ30" s="312">
        <v>0</v>
      </c>
      <c r="BA30" s="361">
        <v>0</v>
      </c>
      <c r="BB30" s="361">
        <v>0</v>
      </c>
      <c r="BC30" s="362">
        <v>0</v>
      </c>
      <c r="BD30" s="214">
        <f t="shared" si="30"/>
        <v>0</v>
      </c>
      <c r="BE30" s="14">
        <f t="shared" si="31"/>
        <v>0</v>
      </c>
      <c r="BG30" s="472"/>
      <c r="BH30" s="312">
        <v>0</v>
      </c>
      <c r="BI30" s="361">
        <v>0</v>
      </c>
      <c r="BJ30" s="361">
        <v>0</v>
      </c>
      <c r="BK30" s="362">
        <v>0</v>
      </c>
      <c r="BL30" s="214">
        <f t="shared" si="32"/>
        <v>0</v>
      </c>
      <c r="BM30" s="14">
        <f t="shared" si="33"/>
        <v>0</v>
      </c>
      <c r="BO30" s="189"/>
    </row>
    <row r="31" spans="1:67" x14ac:dyDescent="0.35">
      <c r="A31" s="25" t="s">
        <v>162</v>
      </c>
      <c r="B31" s="12"/>
      <c r="C31" s="472"/>
      <c r="D31" s="312">
        <f t="shared" si="54"/>
        <v>3216213.7585864421</v>
      </c>
      <c r="E31" s="361">
        <f t="shared" si="54"/>
        <v>3227025.492091916</v>
      </c>
      <c r="F31" s="361">
        <f t="shared" si="54"/>
        <v>3268458.2416455825</v>
      </c>
      <c r="G31" s="362">
        <f t="shared" si="54"/>
        <v>3286063.2922232435</v>
      </c>
      <c r="H31" s="214">
        <f t="shared" si="18"/>
        <v>3249440.1961367959</v>
      </c>
      <c r="I31" s="14">
        <f t="shared" si="19"/>
        <v>12997760.784547184</v>
      </c>
      <c r="K31" s="472"/>
      <c r="L31" s="312">
        <v>1423378.9121569067</v>
      </c>
      <c r="M31" s="361">
        <v>1428403.2169883768</v>
      </c>
      <c r="N31" s="361">
        <v>1447657.3693089259</v>
      </c>
      <c r="O31" s="362">
        <v>1455838.5865606125</v>
      </c>
      <c r="P31" s="214">
        <f t="shared" si="20"/>
        <v>1438819.5212537055</v>
      </c>
      <c r="Q31" s="14">
        <f t="shared" si="21"/>
        <v>5755278.085014822</v>
      </c>
      <c r="S31" s="472"/>
      <c r="T31" s="312">
        <v>819509.64311306097</v>
      </c>
      <c r="U31" s="361">
        <v>822402.38391746848</v>
      </c>
      <c r="V31" s="361">
        <v>833487.95176022034</v>
      </c>
      <c r="W31" s="362">
        <v>838198.28319262865</v>
      </c>
      <c r="X31" s="214">
        <f t="shared" si="22"/>
        <v>828399.56549584458</v>
      </c>
      <c r="Y31" s="14">
        <f t="shared" si="23"/>
        <v>3313598.2619833783</v>
      </c>
      <c r="AA31" s="472"/>
      <c r="AB31" s="312">
        <v>278180.24566030246</v>
      </c>
      <c r="AC31" s="361">
        <v>279162.17839820753</v>
      </c>
      <c r="AD31" s="361">
        <v>282925.14325371105</v>
      </c>
      <c r="AE31" s="362">
        <v>284524.05202314461</v>
      </c>
      <c r="AF31" s="214">
        <f t="shared" si="24"/>
        <v>281197.90483384143</v>
      </c>
      <c r="AG31" s="14">
        <f t="shared" si="25"/>
        <v>1124791.6193353657</v>
      </c>
      <c r="AI31" s="472"/>
      <c r="AJ31" s="312">
        <v>279263.09015080298</v>
      </c>
      <c r="AK31" s="361">
        <v>280248.84516031749</v>
      </c>
      <c r="AL31" s="361">
        <v>284026.45773371361</v>
      </c>
      <c r="AM31" s="362">
        <v>285631.59041580383</v>
      </c>
      <c r="AN31" s="214">
        <f t="shared" si="26"/>
        <v>282292.49586515944</v>
      </c>
      <c r="AO31" s="14">
        <f t="shared" si="27"/>
        <v>1129169.9834606377</v>
      </c>
      <c r="AQ31" s="472"/>
      <c r="AR31" s="312">
        <v>113672.15224608491</v>
      </c>
      <c r="AS31" s="361">
        <v>113672.15224608491</v>
      </c>
      <c r="AT31" s="361">
        <v>113672.15224608491</v>
      </c>
      <c r="AU31" s="362">
        <v>113672.15224608491</v>
      </c>
      <c r="AV31" s="214">
        <f t="shared" si="28"/>
        <v>113672.15224608491</v>
      </c>
      <c r="AW31" s="14">
        <f t="shared" si="29"/>
        <v>454688.60898433963</v>
      </c>
      <c r="AY31" s="472"/>
      <c r="AZ31" s="312">
        <v>262617.90829420456</v>
      </c>
      <c r="BA31" s="361">
        <v>263544.90841638122</v>
      </c>
      <c r="BB31" s="361">
        <v>267097.36037784687</v>
      </c>
      <c r="BC31" s="362">
        <v>268606.82081988943</v>
      </c>
      <c r="BD31" s="214">
        <f t="shared" si="30"/>
        <v>265466.74947708054</v>
      </c>
      <c r="BE31" s="14">
        <f t="shared" si="31"/>
        <v>1061866.9979083221</v>
      </c>
      <c r="BG31" s="472"/>
      <c r="BH31" s="312">
        <v>39591.806965079639</v>
      </c>
      <c r="BI31" s="361">
        <v>39591.806965079639</v>
      </c>
      <c r="BJ31" s="361">
        <v>39591.806965079639</v>
      </c>
      <c r="BK31" s="362">
        <v>39591.806965079639</v>
      </c>
      <c r="BL31" s="214">
        <f t="shared" si="32"/>
        <v>39591.806965079639</v>
      </c>
      <c r="BM31" s="14">
        <f t="shared" si="33"/>
        <v>158367.22786031856</v>
      </c>
      <c r="BO31" s="189" t="s">
        <v>433</v>
      </c>
    </row>
    <row r="32" spans="1:67" x14ac:dyDescent="0.35">
      <c r="A32" s="25" t="s">
        <v>4</v>
      </c>
      <c r="B32" s="12"/>
      <c r="C32" s="472"/>
      <c r="D32" s="312">
        <f t="shared" si="54"/>
        <v>0</v>
      </c>
      <c r="E32" s="361">
        <f t="shared" si="54"/>
        <v>0</v>
      </c>
      <c r="F32" s="361">
        <f t="shared" si="54"/>
        <v>0</v>
      </c>
      <c r="G32" s="362">
        <f t="shared" si="54"/>
        <v>0</v>
      </c>
      <c r="H32" s="214">
        <f t="shared" si="18"/>
        <v>0</v>
      </c>
      <c r="I32" s="14">
        <f t="shared" si="19"/>
        <v>0</v>
      </c>
      <c r="K32" s="472"/>
      <c r="L32" s="312">
        <v>0</v>
      </c>
      <c r="M32" s="361">
        <v>0</v>
      </c>
      <c r="N32" s="361">
        <v>0</v>
      </c>
      <c r="O32" s="362">
        <v>0</v>
      </c>
      <c r="P32" s="214">
        <f t="shared" si="20"/>
        <v>0</v>
      </c>
      <c r="Q32" s="14">
        <f t="shared" si="21"/>
        <v>0</v>
      </c>
      <c r="S32" s="472"/>
      <c r="T32" s="312">
        <v>0</v>
      </c>
      <c r="U32" s="361">
        <v>0</v>
      </c>
      <c r="V32" s="361">
        <v>0</v>
      </c>
      <c r="W32" s="362">
        <v>0</v>
      </c>
      <c r="X32" s="214">
        <f t="shared" si="22"/>
        <v>0</v>
      </c>
      <c r="Y32" s="14">
        <f t="shared" si="23"/>
        <v>0</v>
      </c>
      <c r="AA32" s="472"/>
      <c r="AB32" s="312">
        <v>0</v>
      </c>
      <c r="AC32" s="361">
        <v>0</v>
      </c>
      <c r="AD32" s="361">
        <v>0</v>
      </c>
      <c r="AE32" s="362">
        <v>0</v>
      </c>
      <c r="AF32" s="214">
        <f t="shared" si="24"/>
        <v>0</v>
      </c>
      <c r="AG32" s="14">
        <f t="shared" si="25"/>
        <v>0</v>
      </c>
      <c r="AI32" s="472"/>
      <c r="AJ32" s="312">
        <v>0</v>
      </c>
      <c r="AK32" s="361">
        <v>0</v>
      </c>
      <c r="AL32" s="361">
        <v>0</v>
      </c>
      <c r="AM32" s="362">
        <v>0</v>
      </c>
      <c r="AN32" s="214">
        <f t="shared" si="26"/>
        <v>0</v>
      </c>
      <c r="AO32" s="14">
        <f t="shared" si="27"/>
        <v>0</v>
      </c>
      <c r="AQ32" s="472"/>
      <c r="AR32" s="312">
        <v>0</v>
      </c>
      <c r="AS32" s="361">
        <v>0</v>
      </c>
      <c r="AT32" s="361">
        <v>0</v>
      </c>
      <c r="AU32" s="362">
        <v>0</v>
      </c>
      <c r="AV32" s="214">
        <f t="shared" si="28"/>
        <v>0</v>
      </c>
      <c r="AW32" s="14">
        <f t="shared" si="29"/>
        <v>0</v>
      </c>
      <c r="AY32" s="472"/>
      <c r="AZ32" s="312">
        <v>0</v>
      </c>
      <c r="BA32" s="361">
        <v>0</v>
      </c>
      <c r="BB32" s="361">
        <v>0</v>
      </c>
      <c r="BC32" s="362">
        <v>0</v>
      </c>
      <c r="BD32" s="214">
        <f t="shared" si="30"/>
        <v>0</v>
      </c>
      <c r="BE32" s="14">
        <f t="shared" si="31"/>
        <v>0</v>
      </c>
      <c r="BG32" s="472"/>
      <c r="BH32" s="312">
        <v>0</v>
      </c>
      <c r="BI32" s="361">
        <v>0</v>
      </c>
      <c r="BJ32" s="361">
        <v>0</v>
      </c>
      <c r="BK32" s="362">
        <v>0</v>
      </c>
      <c r="BL32" s="214">
        <f t="shared" si="32"/>
        <v>0</v>
      </c>
      <c r="BM32" s="14">
        <f t="shared" si="33"/>
        <v>0</v>
      </c>
      <c r="BO32" s="189" t="s">
        <v>433</v>
      </c>
    </row>
    <row r="33" spans="1:67" x14ac:dyDescent="0.35">
      <c r="A33" s="25" t="s">
        <v>5</v>
      </c>
      <c r="B33" s="12"/>
      <c r="C33" s="472"/>
      <c r="D33" s="312">
        <f t="shared" si="54"/>
        <v>855491.20177888533</v>
      </c>
      <c r="E33" s="361">
        <f t="shared" si="54"/>
        <v>858367.05008505506</v>
      </c>
      <c r="F33" s="361">
        <f t="shared" si="54"/>
        <v>869387.88245791569</v>
      </c>
      <c r="G33" s="362">
        <f t="shared" si="54"/>
        <v>874070.70735904458</v>
      </c>
      <c r="H33" s="214">
        <f t="shared" si="18"/>
        <v>864329.21042022528</v>
      </c>
      <c r="I33" s="14">
        <f t="shared" si="19"/>
        <v>3457316.8416809011</v>
      </c>
      <c r="K33" s="472"/>
      <c r="L33" s="312">
        <v>378609.20559055766</v>
      </c>
      <c r="M33" s="361">
        <v>379945.63684202614</v>
      </c>
      <c r="N33" s="361">
        <v>385067.11170170078</v>
      </c>
      <c r="O33" s="362">
        <v>387243.26039827737</v>
      </c>
      <c r="P33" s="214">
        <f t="shared" si="20"/>
        <v>382716.30363314046</v>
      </c>
      <c r="Q33" s="14">
        <f t="shared" si="21"/>
        <v>1530865.2145325618</v>
      </c>
      <c r="S33" s="472"/>
      <c r="T33" s="312">
        <v>217984.04648461891</v>
      </c>
      <c r="U33" s="361">
        <v>218753.49605885523</v>
      </c>
      <c r="V33" s="361">
        <v>221702.18245473874</v>
      </c>
      <c r="W33" s="362">
        <v>222955.09889635578</v>
      </c>
      <c r="X33" s="214">
        <f t="shared" si="22"/>
        <v>220348.70597364218</v>
      </c>
      <c r="Y33" s="14">
        <f t="shared" si="23"/>
        <v>881394.82389456872</v>
      </c>
      <c r="AA33" s="472"/>
      <c r="AB33" s="312">
        <v>73994.072077992911</v>
      </c>
      <c r="AC33" s="361">
        <v>74255.259573933989</v>
      </c>
      <c r="AD33" s="361">
        <v>75256.182885667251</v>
      </c>
      <c r="AE33" s="362">
        <v>75681.481851274162</v>
      </c>
      <c r="AF33" s="214">
        <f t="shared" si="24"/>
        <v>74796.749097217078</v>
      </c>
      <c r="AG33" s="14">
        <f t="shared" si="25"/>
        <v>299186.99638886831</v>
      </c>
      <c r="AI33" s="472"/>
      <c r="AJ33" s="312">
        <v>74282.10142058396</v>
      </c>
      <c r="AK33" s="361">
        <v>74544.30561503394</v>
      </c>
      <c r="AL33" s="361">
        <v>75549.1251210888</v>
      </c>
      <c r="AM33" s="362">
        <v>75976.079605550505</v>
      </c>
      <c r="AN33" s="214">
        <f t="shared" si="26"/>
        <v>75087.902940564309</v>
      </c>
      <c r="AO33" s="14">
        <f t="shared" si="27"/>
        <v>300351.61176225723</v>
      </c>
      <c r="AQ33" s="472"/>
      <c r="AR33" s="312">
        <v>30236.027028419892</v>
      </c>
      <c r="AS33" s="361">
        <v>30236.027028419892</v>
      </c>
      <c r="AT33" s="361">
        <v>30236.027028419892</v>
      </c>
      <c r="AU33" s="362">
        <v>30236.027028419892</v>
      </c>
      <c r="AV33" s="214">
        <f t="shared" si="28"/>
        <v>30236.027028419892</v>
      </c>
      <c r="AW33" s="14">
        <f t="shared" si="29"/>
        <v>120944.10811367957</v>
      </c>
      <c r="AY33" s="472"/>
      <c r="AZ33" s="312">
        <v>69854.595135495489</v>
      </c>
      <c r="BA33" s="361">
        <v>70101.170925569415</v>
      </c>
      <c r="BB33" s="361">
        <v>71046.099225083846</v>
      </c>
      <c r="BC33" s="362">
        <v>71447.605537950381</v>
      </c>
      <c r="BD33" s="214">
        <f t="shared" si="30"/>
        <v>70612.367706024786</v>
      </c>
      <c r="BE33" s="14">
        <f t="shared" si="31"/>
        <v>282449.47082409915</v>
      </c>
      <c r="BG33" s="472"/>
      <c r="BH33" s="312">
        <v>10531.15404121647</v>
      </c>
      <c r="BI33" s="361">
        <v>10531.15404121647</v>
      </c>
      <c r="BJ33" s="361">
        <v>10531.15404121647</v>
      </c>
      <c r="BK33" s="362">
        <v>10531.15404121647</v>
      </c>
      <c r="BL33" s="214">
        <f t="shared" si="32"/>
        <v>10531.15404121647</v>
      </c>
      <c r="BM33" s="14">
        <f t="shared" si="33"/>
        <v>42124.616164865882</v>
      </c>
      <c r="BO33" s="189" t="s">
        <v>299</v>
      </c>
    </row>
    <row r="34" spans="1:67" x14ac:dyDescent="0.35">
      <c r="A34" s="25" t="s">
        <v>172</v>
      </c>
      <c r="B34" s="12"/>
      <c r="C34" s="472"/>
      <c r="D34" s="312">
        <f t="shared" si="54"/>
        <v>4002264.1240673056</v>
      </c>
      <c r="E34" s="361">
        <f t="shared" si="54"/>
        <v>4022468.5602237638</v>
      </c>
      <c r="F34" s="361">
        <f t="shared" si="54"/>
        <v>4099896.0460862089</v>
      </c>
      <c r="G34" s="362">
        <f t="shared" si="54"/>
        <v>4132795.4992818967</v>
      </c>
      <c r="H34" s="214">
        <f t="shared" si="18"/>
        <v>4064356.0574147939</v>
      </c>
      <c r="I34" s="14">
        <f t="shared" si="19"/>
        <v>16257424.229659176</v>
      </c>
      <c r="K34" s="472"/>
      <c r="L34" s="312">
        <v>1756717.9748693251</v>
      </c>
      <c r="M34" s="361">
        <v>1762918.9144317158</v>
      </c>
      <c r="N34" s="361">
        <v>1786682.1690250591</v>
      </c>
      <c r="O34" s="362">
        <v>1796779.3337923593</v>
      </c>
      <c r="P34" s="214">
        <f t="shared" si="20"/>
        <v>1775774.5980296149</v>
      </c>
      <c r="Q34" s="14">
        <f t="shared" si="21"/>
        <v>7103098.3921184596</v>
      </c>
      <c r="S34" s="472"/>
      <c r="T34" s="312">
        <v>1011429.4291840401</v>
      </c>
      <c r="U34" s="361">
        <v>1014999.6168019245</v>
      </c>
      <c r="V34" s="361">
        <v>1028681.2978530267</v>
      </c>
      <c r="W34" s="362">
        <v>1034494.7350370614</v>
      </c>
      <c r="X34" s="214">
        <f t="shared" si="22"/>
        <v>1022401.2697190131</v>
      </c>
      <c r="Y34" s="14">
        <f t="shared" si="23"/>
        <v>4089605.0788760525</v>
      </c>
      <c r="AA34" s="472"/>
      <c r="AB34" s="312">
        <v>343326.87777739653</v>
      </c>
      <c r="AC34" s="361">
        <v>344538.76793261641</v>
      </c>
      <c r="AD34" s="361">
        <v>349182.97612202074</v>
      </c>
      <c r="AE34" s="362">
        <v>351156.33103928855</v>
      </c>
      <c r="AF34" s="214">
        <f t="shared" si="24"/>
        <v>347051.23821783054</v>
      </c>
      <c r="AG34" s="14">
        <f t="shared" si="25"/>
        <v>1388204.9528713222</v>
      </c>
      <c r="AI34" s="472"/>
      <c r="AJ34" s="312">
        <v>344663.31206358946</v>
      </c>
      <c r="AK34" s="361">
        <v>345879.91962271614</v>
      </c>
      <c r="AL34" s="361">
        <v>350542.20585802448</v>
      </c>
      <c r="AM34" s="362">
        <v>352523.24225711316</v>
      </c>
      <c r="AN34" s="214">
        <f t="shared" si="26"/>
        <v>348402.16995036078</v>
      </c>
      <c r="AO34" s="14">
        <f t="shared" si="27"/>
        <v>1393608.6798014431</v>
      </c>
      <c r="AQ34" s="472"/>
      <c r="AR34" s="312">
        <v>163904.56355431641</v>
      </c>
      <c r="AS34" s="361">
        <v>168835.87986528513</v>
      </c>
      <c r="AT34" s="361">
        <v>187733.68136759091</v>
      </c>
      <c r="AU34" s="362">
        <v>195763.48278889817</v>
      </c>
      <c r="AV34" s="214">
        <f t="shared" si="28"/>
        <v>179059.40189402265</v>
      </c>
      <c r="AW34" s="14">
        <f t="shared" si="29"/>
        <v>716237.60757609061</v>
      </c>
      <c r="AY34" s="472"/>
      <c r="AZ34" s="312">
        <v>324120.01897928677</v>
      </c>
      <c r="BA34" s="361">
        <v>325264.1119284131</v>
      </c>
      <c r="BB34" s="361">
        <v>329648.50751153281</v>
      </c>
      <c r="BC34" s="362">
        <v>331511.46632611309</v>
      </c>
      <c r="BD34" s="214">
        <f t="shared" si="30"/>
        <v>327636.02618633647</v>
      </c>
      <c r="BE34" s="14">
        <f t="shared" si="31"/>
        <v>1310544.1047453459</v>
      </c>
      <c r="BG34" s="472"/>
      <c r="BH34" s="312">
        <v>58101.947639351012</v>
      </c>
      <c r="BI34" s="361">
        <v>60031.349641093053</v>
      </c>
      <c r="BJ34" s="361">
        <v>67425.208348954213</v>
      </c>
      <c r="BK34" s="362">
        <v>70566.908041063114</v>
      </c>
      <c r="BL34" s="214">
        <f t="shared" si="32"/>
        <v>64031.353417615348</v>
      </c>
      <c r="BM34" s="14">
        <f t="shared" si="33"/>
        <v>256125.41367046139</v>
      </c>
      <c r="BO34" s="189" t="s">
        <v>298</v>
      </c>
    </row>
    <row r="35" spans="1:67" x14ac:dyDescent="0.35">
      <c r="A35" s="25" t="s">
        <v>178</v>
      </c>
      <c r="B35" s="12"/>
      <c r="C35" s="472"/>
      <c r="D35" s="312">
        <f t="shared" si="54"/>
        <v>0</v>
      </c>
      <c r="E35" s="361">
        <f t="shared" si="54"/>
        <v>0</v>
      </c>
      <c r="F35" s="361">
        <f t="shared" si="54"/>
        <v>0</v>
      </c>
      <c r="G35" s="362">
        <f t="shared" si="54"/>
        <v>0</v>
      </c>
      <c r="H35" s="214">
        <f t="shared" si="18"/>
        <v>0</v>
      </c>
      <c r="I35" s="14">
        <f t="shared" si="19"/>
        <v>0</v>
      </c>
      <c r="K35" s="472"/>
      <c r="L35" s="312">
        <v>0</v>
      </c>
      <c r="M35" s="361">
        <v>0</v>
      </c>
      <c r="N35" s="361">
        <v>0</v>
      </c>
      <c r="O35" s="362">
        <v>0</v>
      </c>
      <c r="P35" s="214">
        <f t="shared" si="20"/>
        <v>0</v>
      </c>
      <c r="Q35" s="14">
        <f t="shared" si="21"/>
        <v>0</v>
      </c>
      <c r="S35" s="472"/>
      <c r="T35" s="312">
        <v>0</v>
      </c>
      <c r="U35" s="361">
        <v>0</v>
      </c>
      <c r="V35" s="361">
        <v>0</v>
      </c>
      <c r="W35" s="362">
        <v>0</v>
      </c>
      <c r="X35" s="214">
        <f t="shared" si="22"/>
        <v>0</v>
      </c>
      <c r="Y35" s="14">
        <f t="shared" si="23"/>
        <v>0</v>
      </c>
      <c r="AA35" s="472"/>
      <c r="AB35" s="312">
        <v>0</v>
      </c>
      <c r="AC35" s="361">
        <v>0</v>
      </c>
      <c r="AD35" s="361">
        <v>0</v>
      </c>
      <c r="AE35" s="362">
        <v>0</v>
      </c>
      <c r="AF35" s="214">
        <f t="shared" si="24"/>
        <v>0</v>
      </c>
      <c r="AG35" s="14">
        <f t="shared" si="25"/>
        <v>0</v>
      </c>
      <c r="AI35" s="472"/>
      <c r="AJ35" s="312">
        <v>0</v>
      </c>
      <c r="AK35" s="361">
        <v>0</v>
      </c>
      <c r="AL35" s="361">
        <v>0</v>
      </c>
      <c r="AM35" s="362">
        <v>0</v>
      </c>
      <c r="AN35" s="214">
        <f t="shared" si="26"/>
        <v>0</v>
      </c>
      <c r="AO35" s="14">
        <f t="shared" si="27"/>
        <v>0</v>
      </c>
      <c r="AQ35" s="472"/>
      <c r="AR35" s="312">
        <v>0</v>
      </c>
      <c r="AS35" s="361">
        <v>0</v>
      </c>
      <c r="AT35" s="361">
        <v>0</v>
      </c>
      <c r="AU35" s="362">
        <v>0</v>
      </c>
      <c r="AV35" s="214">
        <f t="shared" si="28"/>
        <v>0</v>
      </c>
      <c r="AW35" s="14">
        <f t="shared" si="29"/>
        <v>0</v>
      </c>
      <c r="AY35" s="472"/>
      <c r="AZ35" s="312">
        <v>0</v>
      </c>
      <c r="BA35" s="361">
        <v>0</v>
      </c>
      <c r="BB35" s="361">
        <v>0</v>
      </c>
      <c r="BC35" s="362">
        <v>0</v>
      </c>
      <c r="BD35" s="214">
        <f t="shared" si="30"/>
        <v>0</v>
      </c>
      <c r="BE35" s="14">
        <f t="shared" si="31"/>
        <v>0</v>
      </c>
      <c r="BG35" s="472"/>
      <c r="BH35" s="312">
        <v>0</v>
      </c>
      <c r="BI35" s="361">
        <v>0</v>
      </c>
      <c r="BJ35" s="361">
        <v>0</v>
      </c>
      <c r="BK35" s="362">
        <v>0</v>
      </c>
      <c r="BL35" s="214">
        <f t="shared" si="32"/>
        <v>0</v>
      </c>
      <c r="BM35" s="14">
        <f t="shared" si="33"/>
        <v>0</v>
      </c>
      <c r="BO35" s="189"/>
    </row>
    <row r="36" spans="1:67" x14ac:dyDescent="0.35">
      <c r="A36" s="25" t="s">
        <v>6</v>
      </c>
      <c r="B36" s="12"/>
      <c r="C36" s="472"/>
      <c r="D36" s="312">
        <f t="shared" si="54"/>
        <v>1649503.9256488769</v>
      </c>
      <c r="E36" s="361">
        <f t="shared" si="54"/>
        <v>1655048.9541199279</v>
      </c>
      <c r="F36" s="361">
        <f t="shared" si="54"/>
        <v>1676298.6247479268</v>
      </c>
      <c r="G36" s="362">
        <f t="shared" si="54"/>
        <v>1685327.7509873041</v>
      </c>
      <c r="H36" s="214">
        <f t="shared" si="18"/>
        <v>1666544.8138760091</v>
      </c>
      <c r="I36" s="14">
        <f t="shared" si="19"/>
        <v>6666179.2555040363</v>
      </c>
      <c r="K36" s="472"/>
      <c r="L36" s="312">
        <v>730010.27901844343</v>
      </c>
      <c r="M36" s="361">
        <v>732587.10107233853</v>
      </c>
      <c r="N36" s="361">
        <v>742462.00436600088</v>
      </c>
      <c r="O36" s="362">
        <v>746657.91638746252</v>
      </c>
      <c r="P36" s="214">
        <f t="shared" si="20"/>
        <v>737929.32521106128</v>
      </c>
      <c r="Q36" s="14">
        <f t="shared" si="21"/>
        <v>2951717.3008442451</v>
      </c>
      <c r="S36" s="472"/>
      <c r="T36" s="312">
        <v>420303.02551041468</v>
      </c>
      <c r="U36" s="361">
        <v>421786.62942200666</v>
      </c>
      <c r="V36" s="361">
        <v>427472.09968213731</v>
      </c>
      <c r="W36" s="362">
        <v>429887.89377173159</v>
      </c>
      <c r="X36" s="214">
        <f t="shared" si="22"/>
        <v>424862.41209657257</v>
      </c>
      <c r="Y36" s="14">
        <f t="shared" si="23"/>
        <v>1699449.6483862903</v>
      </c>
      <c r="AA36" s="472"/>
      <c r="AB36" s="312">
        <v>142670.68102348741</v>
      </c>
      <c r="AC36" s="361">
        <v>143174.28620258142</v>
      </c>
      <c r="AD36" s="361">
        <v>145104.20310709707</v>
      </c>
      <c r="AE36" s="362">
        <v>145924.23762280485</v>
      </c>
      <c r="AF36" s="214">
        <f t="shared" si="24"/>
        <v>144218.35198899268</v>
      </c>
      <c r="AG36" s="14">
        <f t="shared" si="25"/>
        <v>576873.40795597073</v>
      </c>
      <c r="AI36" s="472"/>
      <c r="AJ36" s="312">
        <v>143226.04095041371</v>
      </c>
      <c r="AK36" s="361">
        <v>143731.60646314779</v>
      </c>
      <c r="AL36" s="361">
        <v>145669.03576266553</v>
      </c>
      <c r="AM36" s="362">
        <v>146492.26234492441</v>
      </c>
      <c r="AN36" s="214">
        <f t="shared" si="26"/>
        <v>144779.73638028785</v>
      </c>
      <c r="AO36" s="14">
        <f t="shared" si="27"/>
        <v>579118.94552115141</v>
      </c>
      <c r="AQ36" s="472"/>
      <c r="AR36" s="312">
        <v>58299.191360117533</v>
      </c>
      <c r="AS36" s="361">
        <v>58299.191360117533</v>
      </c>
      <c r="AT36" s="361">
        <v>58299.191360117533</v>
      </c>
      <c r="AU36" s="362">
        <v>58299.191360117533</v>
      </c>
      <c r="AV36" s="214">
        <f t="shared" si="28"/>
        <v>58299.191360117533</v>
      </c>
      <c r="AW36" s="14">
        <f t="shared" si="29"/>
        <v>233196.76544047013</v>
      </c>
      <c r="AY36" s="472"/>
      <c r="AZ36" s="312">
        <v>134689.20388779696</v>
      </c>
      <c r="BA36" s="361">
        <v>135164.63570153294</v>
      </c>
      <c r="BB36" s="361">
        <v>136986.58657170524</v>
      </c>
      <c r="BC36" s="362">
        <v>137760.74560205999</v>
      </c>
      <c r="BD36" s="214">
        <f t="shared" si="30"/>
        <v>136150.29294077377</v>
      </c>
      <c r="BE36" s="14">
        <f t="shared" si="31"/>
        <v>544601.17176309507</v>
      </c>
      <c r="BG36" s="472"/>
      <c r="BH36" s="312">
        <v>20305.503898203093</v>
      </c>
      <c r="BI36" s="361">
        <v>20305.503898203093</v>
      </c>
      <c r="BJ36" s="361">
        <v>20305.503898203093</v>
      </c>
      <c r="BK36" s="362">
        <v>20305.503898203093</v>
      </c>
      <c r="BL36" s="214">
        <f t="shared" si="32"/>
        <v>20305.503898203093</v>
      </c>
      <c r="BM36" s="14">
        <f t="shared" si="33"/>
        <v>81222.015592812371</v>
      </c>
      <c r="BO36" s="189" t="s">
        <v>299</v>
      </c>
    </row>
    <row r="37" spans="1:67" x14ac:dyDescent="0.35">
      <c r="A37" s="25" t="s">
        <v>402</v>
      </c>
      <c r="B37" s="12"/>
      <c r="C37" s="472"/>
      <c r="D37" s="312">
        <f t="shared" si="54"/>
        <v>0</v>
      </c>
      <c r="E37" s="361">
        <f t="shared" si="54"/>
        <v>0</v>
      </c>
      <c r="F37" s="361">
        <f t="shared" si="54"/>
        <v>0</v>
      </c>
      <c r="G37" s="362">
        <f t="shared" si="54"/>
        <v>0</v>
      </c>
      <c r="H37" s="214"/>
      <c r="I37" s="14"/>
      <c r="K37" s="472"/>
      <c r="L37" s="312">
        <v>0</v>
      </c>
      <c r="M37" s="361">
        <v>0</v>
      </c>
      <c r="N37" s="361">
        <v>0</v>
      </c>
      <c r="O37" s="362">
        <v>0</v>
      </c>
      <c r="P37" s="214"/>
      <c r="Q37" s="14"/>
      <c r="S37" s="472"/>
      <c r="T37" s="312">
        <v>0</v>
      </c>
      <c r="U37" s="361">
        <v>0</v>
      </c>
      <c r="V37" s="361">
        <v>0</v>
      </c>
      <c r="W37" s="362">
        <v>0</v>
      </c>
      <c r="X37" s="214"/>
      <c r="Y37" s="14"/>
      <c r="AA37" s="472"/>
      <c r="AB37" s="312">
        <v>0</v>
      </c>
      <c r="AC37" s="361">
        <v>0</v>
      </c>
      <c r="AD37" s="361">
        <v>0</v>
      </c>
      <c r="AE37" s="362">
        <v>0</v>
      </c>
      <c r="AF37" s="214"/>
      <c r="AG37" s="14"/>
      <c r="AI37" s="472"/>
      <c r="AJ37" s="312">
        <v>0</v>
      </c>
      <c r="AK37" s="361">
        <v>0</v>
      </c>
      <c r="AL37" s="361">
        <v>0</v>
      </c>
      <c r="AM37" s="362">
        <v>0</v>
      </c>
      <c r="AN37" s="214"/>
      <c r="AO37" s="14"/>
      <c r="AQ37" s="472"/>
      <c r="AR37" s="312">
        <v>0</v>
      </c>
      <c r="AS37" s="361">
        <v>0</v>
      </c>
      <c r="AT37" s="361">
        <v>0</v>
      </c>
      <c r="AU37" s="362">
        <v>0</v>
      </c>
      <c r="AV37" s="214"/>
      <c r="AW37" s="14"/>
      <c r="AY37" s="472"/>
      <c r="AZ37" s="312">
        <v>0</v>
      </c>
      <c r="BA37" s="361">
        <v>0</v>
      </c>
      <c r="BB37" s="361">
        <v>0</v>
      </c>
      <c r="BC37" s="362">
        <v>0</v>
      </c>
      <c r="BD37" s="214"/>
      <c r="BE37" s="14"/>
      <c r="BG37" s="472"/>
      <c r="BH37" s="312">
        <v>0</v>
      </c>
      <c r="BI37" s="361">
        <v>0</v>
      </c>
      <c r="BJ37" s="361">
        <v>0</v>
      </c>
      <c r="BK37" s="362">
        <v>0</v>
      </c>
      <c r="BL37" s="214"/>
      <c r="BM37" s="14"/>
      <c r="BO37" s="189"/>
    </row>
    <row r="38" spans="1:67" x14ac:dyDescent="0.35">
      <c r="A38" s="52" t="s">
        <v>403</v>
      </c>
      <c r="B38" s="15"/>
      <c r="C38" s="473"/>
      <c r="D38" s="316">
        <f t="shared" si="54"/>
        <v>1591863.3754619765</v>
      </c>
      <c r="E38" s="417">
        <f t="shared" si="54"/>
        <v>1597214.6375000391</v>
      </c>
      <c r="F38" s="417">
        <f t="shared" si="54"/>
        <v>1617721.7559659954</v>
      </c>
      <c r="G38" s="418">
        <f t="shared" si="54"/>
        <v>1626435.366857969</v>
      </c>
      <c r="H38" s="214">
        <f>IFERROR(AVERAGE(C38:G38),0)</f>
        <v>1608308.783946495</v>
      </c>
      <c r="I38" s="14">
        <f>SUM(C38:G38)</f>
        <v>6433235.1357859802</v>
      </c>
      <c r="K38" s="473"/>
      <c r="L38" s="316">
        <v>704500.67369382246</v>
      </c>
      <c r="M38" s="417">
        <v>706987.45083263097</v>
      </c>
      <c r="N38" s="417">
        <v>716517.28379936737</v>
      </c>
      <c r="O38" s="418">
        <v>720566.57314616174</v>
      </c>
      <c r="P38" s="214">
        <f>IFERROR(AVERAGE(K38:O38),0)</f>
        <v>712142.99536799558</v>
      </c>
      <c r="Q38" s="14">
        <f>SUM(K38:O38)</f>
        <v>2848571.9814719823</v>
      </c>
      <c r="S38" s="473"/>
      <c r="T38" s="316">
        <v>405615.88396505039</v>
      </c>
      <c r="U38" s="417">
        <v>407047.64456521167</v>
      </c>
      <c r="V38" s="417">
        <v>412534.44077021006</v>
      </c>
      <c r="W38" s="418">
        <v>414865.81693372532</v>
      </c>
      <c r="X38" s="214">
        <f>IFERROR(AVERAGE(S38:W38),0)</f>
        <v>410015.94655854936</v>
      </c>
      <c r="Y38" s="14">
        <f>SUM(S38:W38)</f>
        <v>1640063.7862341974</v>
      </c>
      <c r="AA38" s="473"/>
      <c r="AB38" s="316">
        <v>137685.17209449314</v>
      </c>
      <c r="AC38" s="417">
        <v>138171.17920719364</v>
      </c>
      <c r="AD38" s="417">
        <v>140033.6567619378</v>
      </c>
      <c r="AE38" s="418">
        <v>140825.03584983927</v>
      </c>
      <c r="AF38" s="214">
        <f>IFERROR(AVERAGE(AA38:AE38),0)</f>
        <v>139178.76097836596</v>
      </c>
      <c r="AG38" s="14">
        <f>SUM(AA38:AE38)</f>
        <v>556715.04391346383</v>
      </c>
      <c r="AI38" s="473"/>
      <c r="AJ38" s="316">
        <v>138221.12542817523</v>
      </c>
      <c r="AK38" s="417">
        <v>138709.02437227836</v>
      </c>
      <c r="AL38" s="417">
        <v>140578.75180759563</v>
      </c>
      <c r="AM38" s="418">
        <v>141373.2114179231</v>
      </c>
      <c r="AN38" s="214">
        <f>IFERROR(AVERAGE(AI38:AM38),0)</f>
        <v>139720.52825649307</v>
      </c>
      <c r="AO38" s="14">
        <f>SUM(AI38:AM38)</f>
        <v>558882.11302597227</v>
      </c>
      <c r="AQ38" s="473"/>
      <c r="AR38" s="316">
        <v>56261.97434402183</v>
      </c>
      <c r="AS38" s="417">
        <v>56261.97434402183</v>
      </c>
      <c r="AT38" s="417">
        <v>56261.97434402183</v>
      </c>
      <c r="AU38" s="418">
        <v>56261.97434402183</v>
      </c>
      <c r="AV38" s="214">
        <f>IFERROR(AVERAGE(AQ38:AU38),0)</f>
        <v>56261.97434402183</v>
      </c>
      <c r="AW38" s="14">
        <f>SUM(AQ38:AU38)</f>
        <v>225047.89737608732</v>
      </c>
      <c r="AY38" s="473"/>
      <c r="AZ38" s="316">
        <v>129982.60107490933</v>
      </c>
      <c r="BA38" s="417">
        <v>130441.41931719877</v>
      </c>
      <c r="BB38" s="417">
        <v>132199.70362135855</v>
      </c>
      <c r="BC38" s="418">
        <v>132946.81030479376</v>
      </c>
      <c r="BD38" s="214">
        <f>IFERROR(AVERAGE(AY38:BC38),0)</f>
        <v>131392.6335795651</v>
      </c>
      <c r="BE38" s="14">
        <f>SUM(AY38:BC38)</f>
        <v>525570.53431826038</v>
      </c>
      <c r="BG38" s="473"/>
      <c r="BH38" s="316">
        <v>19595.944861504064</v>
      </c>
      <c r="BI38" s="417">
        <v>19595.944861504064</v>
      </c>
      <c r="BJ38" s="417">
        <v>19595.944861504064</v>
      </c>
      <c r="BK38" s="418">
        <v>19595.944861504064</v>
      </c>
      <c r="BL38" s="214">
        <f>IFERROR(AVERAGE(BG38:BK38),0)</f>
        <v>19595.944861504064</v>
      </c>
      <c r="BM38" s="14">
        <f>SUM(BG38:BK38)</f>
        <v>78383.779446016255</v>
      </c>
      <c r="BO38" s="189"/>
    </row>
    <row r="39" spans="1:67" ht="13.15" customHeight="1" x14ac:dyDescent="0.35">
      <c r="A39" s="96" t="s">
        <v>383</v>
      </c>
      <c r="B39" s="57"/>
      <c r="C39" s="476"/>
      <c r="D39" s="19">
        <f t="shared" ref="D39:F39" si="55">D22+D29</f>
        <v>32907723.433714472</v>
      </c>
      <c r="E39" s="19">
        <f t="shared" si="55"/>
        <v>33023883.843817703</v>
      </c>
      <c r="F39" s="19">
        <f t="shared" si="55"/>
        <v>33469034.029717274</v>
      </c>
      <c r="G39" s="35">
        <f>G22+G29</f>
        <v>33658181.301424801</v>
      </c>
      <c r="H39" s="35">
        <f>IFERROR(AVERAGE(C39:G39),0)</f>
        <v>33264705.652168564</v>
      </c>
      <c r="I39" s="20">
        <f>SUM(C39:G39)</f>
        <v>133058822.60867426</v>
      </c>
      <c r="K39" s="476"/>
      <c r="L39" s="19">
        <f t="shared" ref="L39:O39" si="56">L22+L29</f>
        <v>14377564.769261682</v>
      </c>
      <c r="M39" s="19">
        <f t="shared" si="56"/>
        <v>14428315.323114917</v>
      </c>
      <c r="N39" s="19">
        <f t="shared" ref="N39" si="57">N22+N29</f>
        <v>14622801.710191168</v>
      </c>
      <c r="O39" s="35">
        <f t="shared" si="56"/>
        <v>14705440.268289015</v>
      </c>
      <c r="P39" s="35">
        <f>IFERROR(AVERAGE(K39:O39),0)</f>
        <v>14533530.517714195</v>
      </c>
      <c r="Q39" s="20">
        <f>SUM(K39:O39)</f>
        <v>58134122.07085678</v>
      </c>
      <c r="S39" s="476"/>
      <c r="T39" s="19">
        <f t="shared" ref="T39:W39" si="58">T22+T29</f>
        <v>8303446.413456385</v>
      </c>
      <c r="U39" s="19">
        <f t="shared" si="58"/>
        <v>8332756.279983609</v>
      </c>
      <c r="V39" s="19">
        <f t="shared" si="58"/>
        <v>8445077.6166738793</v>
      </c>
      <c r="W39" s="35">
        <f t="shared" si="58"/>
        <v>8492803.6989321038</v>
      </c>
      <c r="X39" s="35">
        <f>IFERROR(AVERAGE(S39:W39),0)</f>
        <v>8393521.0022614934</v>
      </c>
      <c r="Y39" s="20">
        <f>SUM(S39:W39)</f>
        <v>33574084.009045973</v>
      </c>
      <c r="AA39" s="476"/>
      <c r="AB39" s="19">
        <f t="shared" ref="AB39:AE39" si="59">AB22+AB29</f>
        <v>2809901.4713161862</v>
      </c>
      <c r="AC39" s="19">
        <f t="shared" si="59"/>
        <v>2819819.9838202782</v>
      </c>
      <c r="AD39" s="19">
        <f t="shared" si="59"/>
        <v>2857829.7298354651</v>
      </c>
      <c r="AE39" s="35">
        <f t="shared" si="59"/>
        <v>2873980.3234661072</v>
      </c>
      <c r="AF39" s="35">
        <f>IFERROR(AVERAGE(AA39:AE39),0)</f>
        <v>2840382.8771095094</v>
      </c>
      <c r="AG39" s="20">
        <f>SUM(AA39:AE39)</f>
        <v>11361531.508438038</v>
      </c>
      <c r="AI39" s="476"/>
      <c r="AJ39" s="19">
        <f t="shared" ref="AJ39:AM39" si="60">AJ22+AJ29</f>
        <v>2820839.2944525555</v>
      </c>
      <c r="AK39" s="19">
        <f t="shared" si="60"/>
        <v>2830796.4157607825</v>
      </c>
      <c r="AL39" s="19">
        <f t="shared" si="60"/>
        <v>2868954.1185223595</v>
      </c>
      <c r="AM39" s="35">
        <f t="shared" si="60"/>
        <v>2885167.5799576137</v>
      </c>
      <c r="AN39" s="35">
        <f>IFERROR(AVERAGE(AI39:AM39),0)</f>
        <v>2851439.3521733279</v>
      </c>
      <c r="AO39" s="20">
        <f>SUM(AI39:AM39)</f>
        <v>11405757.408693312</v>
      </c>
      <c r="AQ39" s="476"/>
      <c r="AR39" s="19">
        <f t="shared" ref="AR39:AU39" si="61">AR22+AR29</f>
        <v>1396771.5383502957</v>
      </c>
      <c r="AS39" s="19">
        <f t="shared" si="61"/>
        <v>1401702.8546612645</v>
      </c>
      <c r="AT39" s="19">
        <f t="shared" si="61"/>
        <v>1420600.6561635702</v>
      </c>
      <c r="AU39" s="35">
        <f t="shared" si="61"/>
        <v>1428630.4575848775</v>
      </c>
      <c r="AV39" s="35">
        <f>IFERROR(AVERAGE(AQ39:AU39),0)</f>
        <v>1411926.3766900019</v>
      </c>
      <c r="AW39" s="20">
        <f>SUM(AQ39:AU39)</f>
        <v>5647705.5067600077</v>
      </c>
      <c r="AY39" s="476"/>
      <c r="AZ39" s="19">
        <f t="shared" ref="AZ39:BC39" si="62">AZ22+AZ29</f>
        <v>2652706.1443859045</v>
      </c>
      <c r="BA39" s="19">
        <f t="shared" si="62"/>
        <v>2662069.7819836484</v>
      </c>
      <c r="BB39" s="19">
        <f t="shared" si="62"/>
        <v>2697953.1351297661</v>
      </c>
      <c r="BC39" s="35">
        <f t="shared" si="62"/>
        <v>2713200.2103019133</v>
      </c>
      <c r="BD39" s="35">
        <f>IFERROR(AVERAGE(AY39:BC39),0)</f>
        <v>2681482.3179503083</v>
      </c>
      <c r="BE39" s="20">
        <f>SUM(AY39:BC39)</f>
        <v>10725929.271801233</v>
      </c>
      <c r="BG39" s="476"/>
      <c r="BH39" s="19">
        <f t="shared" ref="BH39:BK39" si="63">BH22+BH29</f>
        <v>546493.80249145976</v>
      </c>
      <c r="BI39" s="19">
        <f t="shared" si="63"/>
        <v>548423.2044932018</v>
      </c>
      <c r="BJ39" s="19">
        <f t="shared" si="63"/>
        <v>555817.06320106296</v>
      </c>
      <c r="BK39" s="35">
        <f t="shared" si="63"/>
        <v>558958.76289317186</v>
      </c>
      <c r="BL39" s="35">
        <f>IFERROR(AVERAGE(BG39:BK39),0)</f>
        <v>552423.20826972416</v>
      </c>
      <c r="BM39" s="20">
        <f>SUM(BG39:BK39)</f>
        <v>2209692.8330788966</v>
      </c>
      <c r="BO39" s="190"/>
    </row>
  </sheetData>
  <mergeCells count="15">
    <mergeCell ref="AQ1:AW1"/>
    <mergeCell ref="AY1:BE1"/>
    <mergeCell ref="BG1:BM1"/>
    <mergeCell ref="AI1:AO1"/>
    <mergeCell ref="A1:B1"/>
    <mergeCell ref="C1:I1"/>
    <mergeCell ref="K1:Q1"/>
    <mergeCell ref="S1:Y1"/>
    <mergeCell ref="AA1:AG1"/>
    <mergeCell ref="BO5:BO6"/>
    <mergeCell ref="BO20:BO21"/>
    <mergeCell ref="A20:A21"/>
    <mergeCell ref="B20:B21"/>
    <mergeCell ref="A5:A6"/>
    <mergeCell ref="B5:B6"/>
  </mergeCells>
  <phoneticPr fontId="20" type="noConversion"/>
  <printOptions horizontalCentered="1"/>
  <pageMargins left="0.70866141732283472" right="0.70866141732283472" top="0.74803149606299213" bottom="0.74803149606299213" header="0.31496062992125984" footer="0.31496062992125984"/>
  <pageSetup paperSize="9" scale="14" orientation="landscape" copies="2" r:id="rId1"/>
  <headerFooter>
    <oddHeader>&amp;L&amp;F&amp;R&amp;A</oddHeader>
    <oddFooter>&amp;L&amp;D&amp;C&amp;P/&amp;N&amp;R&amp;T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7" tint="0.59999389629810485"/>
    <pageSetUpPr fitToPage="1"/>
  </sheetPr>
  <dimension ref="A1:P35"/>
  <sheetViews>
    <sheetView showGridLines="0" zoomScale="85" zoomScaleNormal="85" workbookViewId="0">
      <selection sqref="A1:N1"/>
    </sheetView>
  </sheetViews>
  <sheetFormatPr baseColWidth="10" defaultColWidth="11.453125" defaultRowHeight="14.5" x14ac:dyDescent="0.35"/>
  <cols>
    <col min="1" max="1" width="29.81640625" style="29" customWidth="1"/>
    <col min="2" max="2" width="8" style="11" customWidth="1"/>
    <col min="3" max="9" width="10.26953125" style="11" bestFit="1" customWidth="1"/>
    <col min="10" max="10" width="6.7265625" style="11" customWidth="1"/>
    <col min="11" max="13" width="10.26953125" style="11" customWidth="1"/>
    <col min="14" max="14" width="9.81640625" style="11" bestFit="1" customWidth="1"/>
    <col min="15" max="15" width="6.26953125" customWidth="1"/>
    <col min="16" max="16" width="27.81640625" bestFit="1" customWidth="1"/>
    <col min="17" max="17" width="6.7265625" customWidth="1"/>
    <col min="18" max="18" width="8.81640625" bestFit="1" customWidth="1"/>
    <col min="19" max="19" width="10.81640625" bestFit="1" customWidth="1"/>
    <col min="20" max="20" width="12" bestFit="1" customWidth="1"/>
    <col min="21" max="21" width="8.81640625" bestFit="1" customWidth="1"/>
    <col min="22" max="22" width="10.81640625" bestFit="1" customWidth="1"/>
    <col min="23" max="23" width="12" bestFit="1" customWidth="1"/>
    <col min="24" max="24" width="8.81640625" bestFit="1" customWidth="1"/>
    <col min="25" max="25" width="10.81640625" bestFit="1" customWidth="1"/>
    <col min="26" max="26" width="12" bestFit="1" customWidth="1"/>
    <col min="27" max="27" width="8.81640625" bestFit="1" customWidth="1"/>
    <col min="28" max="28" width="12" bestFit="1" customWidth="1"/>
    <col min="29" max="29" width="13.1796875" bestFit="1" customWidth="1"/>
    <col min="30" max="30" width="8.7265625" bestFit="1" customWidth="1"/>
  </cols>
  <sheetData>
    <row r="1" spans="1:16" x14ac:dyDescent="0.35">
      <c r="A1" s="691" t="s">
        <v>310</v>
      </c>
      <c r="B1" s="680"/>
      <c r="C1" s="680"/>
      <c r="D1" s="680"/>
      <c r="E1" s="680"/>
      <c r="F1" s="680"/>
      <c r="G1" s="680"/>
      <c r="H1" s="680"/>
      <c r="I1" s="680"/>
      <c r="J1" s="680"/>
      <c r="K1" s="680"/>
      <c r="L1" s="680"/>
      <c r="M1" s="680"/>
      <c r="N1" s="681"/>
    </row>
    <row r="3" spans="1:16" x14ac:dyDescent="0.35">
      <c r="A3" s="42" t="s">
        <v>69</v>
      </c>
      <c r="B3" s="43"/>
      <c r="C3" s="44"/>
      <c r="D3" s="44"/>
      <c r="E3" s="44"/>
      <c r="F3" s="44"/>
      <c r="G3" s="44"/>
      <c r="H3" s="44"/>
      <c r="I3" s="44"/>
      <c r="J3" s="44"/>
      <c r="K3" s="44"/>
      <c r="L3" s="44"/>
      <c r="M3" s="44"/>
      <c r="N3" s="44"/>
    </row>
    <row r="4" spans="1:16" x14ac:dyDescent="0.35">
      <c r="A4"/>
      <c r="B4"/>
      <c r="C4"/>
      <c r="D4"/>
      <c r="E4"/>
      <c r="F4"/>
      <c r="G4"/>
      <c r="H4"/>
      <c r="I4"/>
      <c r="J4"/>
      <c r="K4"/>
      <c r="L4"/>
      <c r="M4"/>
      <c r="N4"/>
    </row>
    <row r="5" spans="1:16" ht="25.15" customHeight="1" x14ac:dyDescent="0.35">
      <c r="A5" s="666" t="s">
        <v>103</v>
      </c>
      <c r="B5" s="655"/>
      <c r="C5" s="3" t="str">
        <f>'2. CEP offre de base'!C$12</f>
        <v>Année 0</v>
      </c>
      <c r="D5" s="3" t="str">
        <f>'2. CEP offre de base'!D$12</f>
        <v>Année 1</v>
      </c>
      <c r="E5" s="3" t="str">
        <f>'2. CEP offre de base'!E$12</f>
        <v>Année 2</v>
      </c>
      <c r="F5" s="3" t="e">
        <f>'2. CEP offre de base'!#REF!</f>
        <v>#REF!</v>
      </c>
      <c r="G5" s="3" t="e">
        <f>'2. CEP offre de base'!#REF!</f>
        <v>#REF!</v>
      </c>
      <c r="H5" s="3" t="e">
        <f>'2. CEP offre de base'!#REF!</f>
        <v>#REF!</v>
      </c>
      <c r="I5" s="3" t="str">
        <f>'2. CEP offre de base'!G$12</f>
        <v>Année 4</v>
      </c>
      <c r="J5"/>
      <c r="K5" s="181" t="s">
        <v>280</v>
      </c>
      <c r="L5" s="181" t="s">
        <v>281</v>
      </c>
      <c r="M5" s="181" t="s">
        <v>256</v>
      </c>
      <c r="N5" s="4" t="s">
        <v>59</v>
      </c>
      <c r="P5" s="661" t="s">
        <v>290</v>
      </c>
    </row>
    <row r="6" spans="1:16" ht="20.25" customHeight="1" x14ac:dyDescent="0.35">
      <c r="A6" s="669"/>
      <c r="B6" s="656"/>
      <c r="C6" s="77">
        <f>'2. CEP offre de base'!C$13</f>
        <v>12</v>
      </c>
      <c r="D6" s="77">
        <f>'2. CEP offre de base'!D$13</f>
        <v>12</v>
      </c>
      <c r="E6" s="77">
        <f>'2. CEP offre de base'!E$13</f>
        <v>12</v>
      </c>
      <c r="F6" s="77" t="e">
        <f>'2. CEP offre de base'!#REF!</f>
        <v>#REF!</v>
      </c>
      <c r="G6" s="77" t="e">
        <f>'2. CEP offre de base'!#REF!</f>
        <v>#REF!</v>
      </c>
      <c r="H6" s="77" t="e">
        <f>'2. CEP offre de base'!#REF!</f>
        <v>#REF!</v>
      </c>
      <c r="I6" s="77">
        <f>'2. CEP offre de base'!G$13</f>
        <v>12</v>
      </c>
      <c r="J6"/>
      <c r="K6" s="78">
        <v>12</v>
      </c>
      <c r="L6" s="78">
        <v>12</v>
      </c>
      <c r="M6" s="78">
        <v>12</v>
      </c>
      <c r="N6" s="78" t="e">
        <f>SUM(C6:I6)</f>
        <v>#REF!</v>
      </c>
      <c r="P6" s="662"/>
    </row>
    <row r="7" spans="1:16" x14ac:dyDescent="0.35">
      <c r="A7" s="32" t="s">
        <v>170</v>
      </c>
      <c r="B7" s="76"/>
      <c r="C7" s="75">
        <v>2540657</v>
      </c>
      <c r="D7" s="75">
        <v>2540657</v>
      </c>
      <c r="E7" s="75">
        <v>2191618</v>
      </c>
      <c r="F7" s="75">
        <v>2191618</v>
      </c>
      <c r="G7" s="75">
        <v>2191618</v>
      </c>
      <c r="H7" s="75">
        <v>2191618</v>
      </c>
      <c r="I7" s="75">
        <v>2191618</v>
      </c>
      <c r="J7"/>
      <c r="K7" s="220">
        <f>IFERROR(AVERAGE(C7:D7),"")</f>
        <v>2540657</v>
      </c>
      <c r="L7" s="220">
        <f t="shared" ref="L7:L9" si="0">IFERROR(AVERAGE(E7:I7),"")</f>
        <v>2191618</v>
      </c>
      <c r="M7" s="220">
        <f t="shared" ref="M7:M9" si="1">IFERROR(AVERAGE(C7:I7),"")</f>
        <v>2291343.4285714286</v>
      </c>
      <c r="N7" s="10">
        <f>SUM(C7:I7)</f>
        <v>16039404</v>
      </c>
      <c r="P7" s="188"/>
    </row>
    <row r="8" spans="1:16" x14ac:dyDescent="0.35">
      <c r="A8" s="25" t="s">
        <v>158</v>
      </c>
      <c r="B8" s="76"/>
      <c r="C8" s="75">
        <v>112.2</v>
      </c>
      <c r="D8" s="75">
        <v>112.2</v>
      </c>
      <c r="E8" s="75">
        <v>105.6</v>
      </c>
      <c r="F8" s="75">
        <v>105.6</v>
      </c>
      <c r="G8" s="75">
        <v>105.6</v>
      </c>
      <c r="H8" s="75">
        <v>105.6</v>
      </c>
      <c r="I8" s="75">
        <v>105.6</v>
      </c>
      <c r="J8"/>
      <c r="K8" s="221">
        <f t="shared" ref="K8:K9" si="2">IFERROR(AVERAGE(C8:D8),"")</f>
        <v>112.2</v>
      </c>
      <c r="L8" s="221">
        <f t="shared" si="0"/>
        <v>105.6</v>
      </c>
      <c r="M8" s="221">
        <f t="shared" si="1"/>
        <v>107.48571428571429</v>
      </c>
      <c r="N8" s="14">
        <f t="shared" ref="N8:N9" si="3">SUM(C8:I8)</f>
        <v>752.40000000000009</v>
      </c>
      <c r="P8" s="189"/>
    </row>
    <row r="9" spans="1:16" x14ac:dyDescent="0.35">
      <c r="A9" s="52" t="s">
        <v>292</v>
      </c>
      <c r="B9" s="219"/>
      <c r="C9" s="232">
        <v>198382.1874</v>
      </c>
      <c r="D9" s="232">
        <v>198382.1874</v>
      </c>
      <c r="E9" s="232">
        <v>168356.44339999999</v>
      </c>
      <c r="F9" s="232">
        <v>168356.44339999999</v>
      </c>
      <c r="G9" s="232">
        <v>168356.44339999999</v>
      </c>
      <c r="H9" s="232">
        <v>168356.44339999999</v>
      </c>
      <c r="I9" s="232">
        <v>168356.44339999999</v>
      </c>
      <c r="J9"/>
      <c r="K9" s="222">
        <f t="shared" si="2"/>
        <v>198382.1874</v>
      </c>
      <c r="L9" s="222">
        <f t="shared" si="0"/>
        <v>168356.44339999999</v>
      </c>
      <c r="M9" s="222">
        <f t="shared" si="1"/>
        <v>176935.22739999997</v>
      </c>
      <c r="N9" s="16">
        <f t="shared" si="3"/>
        <v>1238546.5917999998</v>
      </c>
      <c r="P9" s="204"/>
    </row>
    <row r="10" spans="1:16" ht="13.15" customHeight="1" x14ac:dyDescent="0.35">
      <c r="A10"/>
      <c r="B10"/>
      <c r="C10"/>
      <c r="D10"/>
      <c r="E10"/>
      <c r="F10"/>
      <c r="G10"/>
      <c r="H10"/>
      <c r="I10"/>
      <c r="J10"/>
      <c r="K10"/>
      <c r="L10"/>
      <c r="M10"/>
      <c r="N10"/>
    </row>
    <row r="11" spans="1:16" x14ac:dyDescent="0.35">
      <c r="J11"/>
    </row>
    <row r="12" spans="1:16" x14ac:dyDescent="0.35">
      <c r="A12" s="42" t="s">
        <v>98</v>
      </c>
      <c r="B12" s="43"/>
      <c r="C12" s="44"/>
      <c r="D12" s="44"/>
      <c r="E12" s="44"/>
      <c r="F12" s="44"/>
      <c r="G12" s="44"/>
      <c r="H12" s="44"/>
      <c r="I12" s="44"/>
      <c r="J12"/>
      <c r="K12" s="44"/>
      <c r="L12" s="44"/>
      <c r="M12" s="44"/>
      <c r="N12" s="44"/>
    </row>
    <row r="13" spans="1:16" x14ac:dyDescent="0.35">
      <c r="J13"/>
    </row>
    <row r="14" spans="1:16" ht="26" x14ac:dyDescent="0.35">
      <c r="A14" s="666" t="s">
        <v>180</v>
      </c>
      <c r="B14" s="655"/>
      <c r="C14" s="3" t="str">
        <f>'2. CEP offre de base'!C$12</f>
        <v>Année 0</v>
      </c>
      <c r="D14" s="3" t="str">
        <f>'2. CEP offre de base'!D$12</f>
        <v>Année 1</v>
      </c>
      <c r="E14" s="3" t="str">
        <f>'2. CEP offre de base'!E$12</f>
        <v>Année 2</v>
      </c>
      <c r="F14" s="3" t="e">
        <f>'2. CEP offre de base'!#REF!</f>
        <v>#REF!</v>
      </c>
      <c r="G14" s="3" t="e">
        <f>'2. CEP offre de base'!#REF!</f>
        <v>#REF!</v>
      </c>
      <c r="H14" s="3" t="e">
        <f>'2. CEP offre de base'!#REF!</f>
        <v>#REF!</v>
      </c>
      <c r="I14" s="121" t="str">
        <f>'2. CEP offre de base'!G$12</f>
        <v>Année 4</v>
      </c>
      <c r="J14"/>
      <c r="K14" s="181" t="s">
        <v>280</v>
      </c>
      <c r="L14" s="181" t="s">
        <v>281</v>
      </c>
      <c r="M14" s="181" t="s">
        <v>256</v>
      </c>
      <c r="N14" s="4" t="s">
        <v>59</v>
      </c>
      <c r="P14" s="663" t="s">
        <v>290</v>
      </c>
    </row>
    <row r="15" spans="1:16" x14ac:dyDescent="0.35">
      <c r="A15" s="669"/>
      <c r="B15" s="656"/>
      <c r="C15" s="77">
        <f>'2. CEP offre de base'!C$13</f>
        <v>12</v>
      </c>
      <c r="D15" s="77">
        <f>'2. CEP offre de base'!D$13</f>
        <v>12</v>
      </c>
      <c r="E15" s="77">
        <f>'2. CEP offre de base'!E$13</f>
        <v>12</v>
      </c>
      <c r="F15" s="77" t="e">
        <f>'2. CEP offre de base'!#REF!</f>
        <v>#REF!</v>
      </c>
      <c r="G15" s="77" t="e">
        <f>'2. CEP offre de base'!#REF!</f>
        <v>#REF!</v>
      </c>
      <c r="H15" s="77" t="e">
        <f>'2. CEP offre de base'!#REF!</f>
        <v>#REF!</v>
      </c>
      <c r="I15" s="183">
        <f>'2. CEP offre de base'!G$13</f>
        <v>12</v>
      </c>
      <c r="J15"/>
      <c r="K15" s="78">
        <v>12</v>
      </c>
      <c r="L15" s="78">
        <v>12</v>
      </c>
      <c r="M15" s="78">
        <v>12</v>
      </c>
      <c r="N15" s="78" t="e">
        <f>SUM(C15:I15)</f>
        <v>#REF!</v>
      </c>
      <c r="P15" s="663"/>
    </row>
    <row r="16" spans="1:16" x14ac:dyDescent="0.35">
      <c r="A16" s="21" t="s">
        <v>205</v>
      </c>
      <c r="B16" s="151"/>
      <c r="C16" s="223">
        <f>SUM(C17:C19)</f>
        <v>7402962.3246867927</v>
      </c>
      <c r="D16" s="223">
        <f t="shared" ref="D16:I16" si="4">SUM(D17:D19)</f>
        <v>7352609.5281240353</v>
      </c>
      <c r="E16" s="223">
        <f t="shared" si="4"/>
        <v>6379669.2004666552</v>
      </c>
      <c r="F16" s="223">
        <f t="shared" si="4"/>
        <v>6342112.130994549</v>
      </c>
      <c r="G16" s="223">
        <f t="shared" si="4"/>
        <v>6406424.9906028965</v>
      </c>
      <c r="H16" s="223">
        <f t="shared" si="4"/>
        <v>6419533.396895525</v>
      </c>
      <c r="I16" s="224">
        <f t="shared" si="4"/>
        <v>6433042.0580917876</v>
      </c>
      <c r="J16"/>
      <c r="K16" s="225">
        <f t="shared" ref="K16:K28" si="5">IFERROR(AVERAGE(C16:D16),"")</f>
        <v>7377785.926405414</v>
      </c>
      <c r="L16" s="226">
        <f t="shared" ref="L16:L28" si="6">IFERROR(AVERAGE(E16:I16),"")</f>
        <v>6396156.3554102825</v>
      </c>
      <c r="M16" s="223">
        <f t="shared" ref="M16:M28" si="7">IFERROR(AVERAGE(C16:I16),"")</f>
        <v>6676621.9471231783</v>
      </c>
      <c r="N16" s="226">
        <f t="shared" ref="N16:N20" si="8">SUM(C16:I16)</f>
        <v>46736353.629862249</v>
      </c>
      <c r="P16" s="190"/>
    </row>
    <row r="17" spans="1:16" x14ac:dyDescent="0.35">
      <c r="A17" s="25" t="s">
        <v>1</v>
      </c>
      <c r="B17" s="12"/>
      <c r="C17" s="13">
        <v>2430107.3324685632</v>
      </c>
      <c r="D17" s="13">
        <v>2431122.6482301527</v>
      </c>
      <c r="E17" s="13">
        <v>2221090.3812054736</v>
      </c>
      <c r="F17" s="13">
        <v>2221766.5496423915</v>
      </c>
      <c r="G17" s="13">
        <v>2222363.7388677564</v>
      </c>
      <c r="H17" s="13">
        <v>2222997.2044000453</v>
      </c>
      <c r="I17" s="159">
        <v>2223752.0975263654</v>
      </c>
      <c r="J17"/>
      <c r="K17" s="208">
        <f t="shared" si="5"/>
        <v>2430614.9903493579</v>
      </c>
      <c r="L17" s="14">
        <f t="shared" si="6"/>
        <v>2222393.9943284066</v>
      </c>
      <c r="M17" s="214">
        <f t="shared" si="7"/>
        <v>2281885.7074772497</v>
      </c>
      <c r="N17" s="14">
        <f t="shared" si="8"/>
        <v>15973199.952340748</v>
      </c>
      <c r="P17" s="189" t="s">
        <v>300</v>
      </c>
    </row>
    <row r="18" spans="1:16" x14ac:dyDescent="0.35">
      <c r="A18" s="25" t="s">
        <v>163</v>
      </c>
      <c r="B18" s="12"/>
      <c r="C18" s="13">
        <v>4768950.2674307479</v>
      </c>
      <c r="D18" s="13">
        <v>4717570.0183496596</v>
      </c>
      <c r="E18" s="13">
        <v>3966518.0469151414</v>
      </c>
      <c r="F18" s="13">
        <v>3928295.1950528617</v>
      </c>
      <c r="G18" s="13">
        <v>3992027.8614339521</v>
      </c>
      <c r="H18" s="13">
        <v>4004516.7481620619</v>
      </c>
      <c r="I18" s="159">
        <v>4017274.2716766829</v>
      </c>
      <c r="J18"/>
      <c r="K18" s="208">
        <f t="shared" si="5"/>
        <v>4743260.1428902037</v>
      </c>
      <c r="L18" s="14">
        <f t="shared" si="6"/>
        <v>3981726.4246481396</v>
      </c>
      <c r="M18" s="214">
        <f t="shared" si="7"/>
        <v>4199307.4870030154</v>
      </c>
      <c r="N18" s="14">
        <f t="shared" si="8"/>
        <v>29395152.409021106</v>
      </c>
      <c r="P18" s="189" t="s">
        <v>296</v>
      </c>
    </row>
    <row r="19" spans="1:16" x14ac:dyDescent="0.35">
      <c r="A19" s="25" t="s">
        <v>2</v>
      </c>
      <c r="B19" s="12"/>
      <c r="C19" s="13">
        <v>203904.72478748244</v>
      </c>
      <c r="D19" s="13">
        <v>203916.86154422234</v>
      </c>
      <c r="E19" s="13">
        <v>192060.77234603988</v>
      </c>
      <c r="F19" s="13">
        <v>192050.38629929553</v>
      </c>
      <c r="G19" s="13">
        <v>192033.3903011879</v>
      </c>
      <c r="H19" s="13">
        <v>192019.44433341862</v>
      </c>
      <c r="I19" s="159">
        <v>192015.68888874023</v>
      </c>
      <c r="J19"/>
      <c r="K19" s="208">
        <f t="shared" si="5"/>
        <v>203910.79316585237</v>
      </c>
      <c r="L19" s="14">
        <f t="shared" si="6"/>
        <v>192035.93643373644</v>
      </c>
      <c r="M19" s="214">
        <f t="shared" si="7"/>
        <v>195428.75264291241</v>
      </c>
      <c r="N19" s="14">
        <f t="shared" si="8"/>
        <v>1368001.268500387</v>
      </c>
      <c r="P19" s="189" t="s">
        <v>297</v>
      </c>
    </row>
    <row r="20" spans="1:16" x14ac:dyDescent="0.35">
      <c r="A20" s="105" t="s">
        <v>159</v>
      </c>
      <c r="B20" s="157"/>
      <c r="C20" s="223">
        <f>SUM(C21:C28)</f>
        <v>2720251.3144390616</v>
      </c>
      <c r="D20" s="223">
        <f t="shared" ref="D20:I20" si="9">SUM(D21:D28)</f>
        <v>2708417.1944078393</v>
      </c>
      <c r="E20" s="223">
        <f t="shared" si="9"/>
        <v>2982001.6958890101</v>
      </c>
      <c r="F20" s="223">
        <f t="shared" si="9"/>
        <v>3068395.8820819561</v>
      </c>
      <c r="G20" s="223">
        <f t="shared" si="9"/>
        <v>3085121.6270276331</v>
      </c>
      <c r="H20" s="223">
        <f t="shared" si="9"/>
        <v>3139569.8538968391</v>
      </c>
      <c r="I20" s="224">
        <f t="shared" si="9"/>
        <v>3144419.5652541043</v>
      </c>
      <c r="J20"/>
      <c r="K20" s="225">
        <f t="shared" si="5"/>
        <v>2714334.2544234507</v>
      </c>
      <c r="L20" s="226">
        <f t="shared" si="6"/>
        <v>3083901.7248299085</v>
      </c>
      <c r="M20" s="223">
        <f t="shared" si="7"/>
        <v>2978311.0189994918</v>
      </c>
      <c r="N20" s="226">
        <f t="shared" si="8"/>
        <v>20848177.132996444</v>
      </c>
      <c r="P20" s="190"/>
    </row>
    <row r="21" spans="1:16" x14ac:dyDescent="0.35">
      <c r="A21" s="32" t="s">
        <v>3</v>
      </c>
      <c r="B21" s="8"/>
      <c r="C21" s="9"/>
      <c r="D21" s="9"/>
      <c r="E21" s="9"/>
      <c r="F21" s="9"/>
      <c r="G21" s="9"/>
      <c r="H21" s="9"/>
      <c r="I21" s="184"/>
      <c r="J21"/>
      <c r="K21" s="208" t="str">
        <f t="shared" si="5"/>
        <v/>
      </c>
      <c r="L21" s="14" t="str">
        <f t="shared" si="6"/>
        <v/>
      </c>
      <c r="M21" s="214" t="str">
        <f t="shared" si="7"/>
        <v/>
      </c>
      <c r="N21" s="14">
        <f t="shared" ref="N21:N28" si="10">SUM(C21:I21)</f>
        <v>0</v>
      </c>
      <c r="P21" s="189"/>
    </row>
    <row r="22" spans="1:16" x14ac:dyDescent="0.35">
      <c r="A22" s="25" t="s">
        <v>162</v>
      </c>
      <c r="B22" s="12"/>
      <c r="C22" s="13">
        <v>495886.02529018605</v>
      </c>
      <c r="D22" s="13">
        <v>495924.92405842606</v>
      </c>
      <c r="E22" s="13">
        <v>496238.115121376</v>
      </c>
      <c r="F22" s="13">
        <v>496203.85818862624</v>
      </c>
      <c r="G22" s="13">
        <v>496147.62608008529</v>
      </c>
      <c r="H22" s="13">
        <v>496101.6344021894</v>
      </c>
      <c r="I22" s="159">
        <v>496089.26572382788</v>
      </c>
      <c r="J22"/>
      <c r="K22" s="208">
        <f t="shared" si="5"/>
        <v>495905.47467430605</v>
      </c>
      <c r="L22" s="14">
        <f t="shared" si="6"/>
        <v>496156.09990322095</v>
      </c>
      <c r="M22" s="214">
        <f t="shared" si="7"/>
        <v>496084.49269495951</v>
      </c>
      <c r="N22" s="14">
        <f t="shared" si="10"/>
        <v>3472591.4488647166</v>
      </c>
      <c r="P22" s="189" t="s">
        <v>296</v>
      </c>
    </row>
    <row r="23" spans="1:16" x14ac:dyDescent="0.35">
      <c r="A23" s="25" t="s">
        <v>4</v>
      </c>
      <c r="B23" s="12"/>
      <c r="C23" s="13">
        <v>307058.93817049556</v>
      </c>
      <c r="D23" s="13">
        <v>307077.21484182467</v>
      </c>
      <c r="E23" s="13">
        <v>307299.64907574176</v>
      </c>
      <c r="F23" s="13">
        <v>307283.03127044585</v>
      </c>
      <c r="G23" s="13">
        <v>307255.837459912</v>
      </c>
      <c r="H23" s="13">
        <v>307233.52373624436</v>
      </c>
      <c r="I23" s="159">
        <v>307227.51497757022</v>
      </c>
      <c r="J23"/>
      <c r="K23" s="208">
        <f t="shared" si="5"/>
        <v>307068.07650616008</v>
      </c>
      <c r="L23" s="14">
        <f t="shared" si="6"/>
        <v>307259.91130398284</v>
      </c>
      <c r="M23" s="214">
        <f t="shared" si="7"/>
        <v>307205.10136174777</v>
      </c>
      <c r="N23" s="14">
        <f t="shared" si="10"/>
        <v>2150435.7095322344</v>
      </c>
      <c r="P23" s="189" t="s">
        <v>296</v>
      </c>
    </row>
    <row r="24" spans="1:16" x14ac:dyDescent="0.35">
      <c r="A24" s="25" t="s">
        <v>5</v>
      </c>
      <c r="B24" s="12"/>
      <c r="C24" s="13">
        <v>135983.39964667172</v>
      </c>
      <c r="D24" s="13">
        <v>120450.75120722358</v>
      </c>
      <c r="E24" s="13">
        <v>133863.06940776666</v>
      </c>
      <c r="F24" s="13">
        <v>118476.78266562245</v>
      </c>
      <c r="G24" s="13">
        <v>117347.12252175878</v>
      </c>
      <c r="H24" s="13">
        <v>124083.96134525308</v>
      </c>
      <c r="I24" s="159">
        <v>117912.0761965024</v>
      </c>
      <c r="J24"/>
      <c r="K24" s="208">
        <f t="shared" si="5"/>
        <v>128217.07542694765</v>
      </c>
      <c r="L24" s="14">
        <f t="shared" si="6"/>
        <v>122336.60242738067</v>
      </c>
      <c r="M24" s="214">
        <f t="shared" si="7"/>
        <v>124016.73757011408</v>
      </c>
      <c r="N24" s="14">
        <f t="shared" si="10"/>
        <v>868117.16299079859</v>
      </c>
      <c r="P24" s="189" t="s">
        <v>299</v>
      </c>
    </row>
    <row r="25" spans="1:16" x14ac:dyDescent="0.35">
      <c r="A25" s="25" t="s">
        <v>172</v>
      </c>
      <c r="B25" s="12"/>
      <c r="C25" s="13">
        <v>1006504.3315967709</v>
      </c>
      <c r="D25" s="13">
        <v>1012246.9658299246</v>
      </c>
      <c r="E25" s="13">
        <v>1296764.1409026575</v>
      </c>
      <c r="F25" s="13">
        <v>1396948.3861108441</v>
      </c>
      <c r="G25" s="13">
        <v>1412153.5423508182</v>
      </c>
      <c r="H25" s="13">
        <v>1457653.8528555329</v>
      </c>
      <c r="I25" s="159">
        <v>1468074.3328204032</v>
      </c>
      <c r="J25"/>
      <c r="K25" s="208">
        <f t="shared" si="5"/>
        <v>1009375.6487133477</v>
      </c>
      <c r="L25" s="14">
        <f t="shared" si="6"/>
        <v>1406318.8510080511</v>
      </c>
      <c r="M25" s="214">
        <f t="shared" si="7"/>
        <v>1292906.5074952787</v>
      </c>
      <c r="N25" s="14">
        <f t="shared" si="10"/>
        <v>9050345.5524669513</v>
      </c>
      <c r="P25" s="189" t="s">
        <v>298</v>
      </c>
    </row>
    <row r="26" spans="1:16" x14ac:dyDescent="0.35">
      <c r="A26" s="25" t="s">
        <v>178</v>
      </c>
      <c r="B26" s="12"/>
      <c r="C26" s="13"/>
      <c r="D26" s="13"/>
      <c r="E26" s="13"/>
      <c r="F26" s="13"/>
      <c r="G26" s="13"/>
      <c r="H26" s="13"/>
      <c r="I26" s="159"/>
      <c r="J26"/>
      <c r="K26" s="208" t="str">
        <f t="shared" si="5"/>
        <v/>
      </c>
      <c r="L26" s="14" t="str">
        <f t="shared" si="6"/>
        <v/>
      </c>
      <c r="M26" s="214" t="str">
        <f t="shared" si="7"/>
        <v/>
      </c>
      <c r="N26" s="14">
        <f t="shared" si="10"/>
        <v>0</v>
      </c>
      <c r="P26" s="189"/>
    </row>
    <row r="27" spans="1:16" x14ac:dyDescent="0.35">
      <c r="A27" s="25" t="s">
        <v>6</v>
      </c>
      <c r="B27" s="12"/>
      <c r="C27" s="13">
        <v>437535.7617200953</v>
      </c>
      <c r="D27" s="13">
        <v>437486.45723330969</v>
      </c>
      <c r="E27" s="13">
        <v>435682.25214474823</v>
      </c>
      <c r="F27" s="13">
        <v>435717.90384920407</v>
      </c>
      <c r="G27" s="13">
        <v>435777.58955510124</v>
      </c>
      <c r="H27" s="13">
        <v>435827.83736614231</v>
      </c>
      <c r="I27" s="159">
        <v>435841.56799895735</v>
      </c>
      <c r="J27"/>
      <c r="K27" s="208">
        <f t="shared" si="5"/>
        <v>437511.10947670252</v>
      </c>
      <c r="L27" s="14">
        <f t="shared" si="6"/>
        <v>435769.43018283061</v>
      </c>
      <c r="M27" s="214">
        <f t="shared" si="7"/>
        <v>436267.05283822259</v>
      </c>
      <c r="N27" s="14">
        <f t="shared" si="10"/>
        <v>3053869.3698675581</v>
      </c>
      <c r="P27" s="189" t="s">
        <v>299</v>
      </c>
    </row>
    <row r="28" spans="1:16" x14ac:dyDescent="0.35">
      <c r="A28" s="25" t="s">
        <v>192</v>
      </c>
      <c r="B28" s="12"/>
      <c r="C28" s="13">
        <v>337282.85801484209</v>
      </c>
      <c r="D28" s="13">
        <v>335230.88123713038</v>
      </c>
      <c r="E28" s="13">
        <v>312154.46923671971</v>
      </c>
      <c r="F28" s="13">
        <v>313765.91999721358</v>
      </c>
      <c r="G28" s="13">
        <v>316439.90905995714</v>
      </c>
      <c r="H28" s="13">
        <v>318669.0441914773</v>
      </c>
      <c r="I28" s="159">
        <v>319274.80753684317</v>
      </c>
      <c r="J28"/>
      <c r="K28" s="208">
        <f t="shared" si="5"/>
        <v>336256.8696259862</v>
      </c>
      <c r="L28" s="14">
        <f t="shared" si="6"/>
        <v>316060.83000444219</v>
      </c>
      <c r="M28" s="214">
        <f t="shared" si="7"/>
        <v>321831.12703916902</v>
      </c>
      <c r="N28" s="14">
        <f t="shared" si="10"/>
        <v>2252817.8892741832</v>
      </c>
      <c r="P28" s="189"/>
    </row>
    <row r="29" spans="1:16" x14ac:dyDescent="0.35">
      <c r="A29" s="96" t="s">
        <v>181</v>
      </c>
      <c r="B29" s="57"/>
      <c r="C29" s="60">
        <f>C16+C20</f>
        <v>10123213.639125854</v>
      </c>
      <c r="D29" s="19">
        <f t="shared" ref="D29:I29" si="11">D16+D20</f>
        <v>10061026.722531874</v>
      </c>
      <c r="E29" s="19">
        <f t="shared" si="11"/>
        <v>9361670.8963556662</v>
      </c>
      <c r="F29" s="19">
        <f t="shared" si="11"/>
        <v>9410508.0130765047</v>
      </c>
      <c r="G29" s="19">
        <f t="shared" si="11"/>
        <v>9491546.6176305301</v>
      </c>
      <c r="H29" s="19">
        <f t="shared" si="11"/>
        <v>9559103.2507923637</v>
      </c>
      <c r="I29" s="35">
        <f t="shared" si="11"/>
        <v>9577461.6233458929</v>
      </c>
      <c r="J29"/>
      <c r="K29" s="60">
        <f t="shared" ref="K29:N29" si="12">K16+K20</f>
        <v>10092120.180828866</v>
      </c>
      <c r="L29" s="20">
        <f t="shared" si="12"/>
        <v>9480058.08024019</v>
      </c>
      <c r="M29" s="35">
        <f t="shared" si="12"/>
        <v>9654932.9661226701</v>
      </c>
      <c r="N29" s="20">
        <f t="shared" si="12"/>
        <v>67584530.762858689</v>
      </c>
      <c r="P29" s="190"/>
    </row>
    <row r="30" spans="1:16" x14ac:dyDescent="0.35">
      <c r="J30"/>
    </row>
    <row r="31" spans="1:16" x14ac:dyDescent="0.35">
      <c r="J31"/>
    </row>
    <row r="32" spans="1:16" x14ac:dyDescent="0.35">
      <c r="J32"/>
    </row>
    <row r="33" spans="3:13" x14ac:dyDescent="0.35">
      <c r="C33" s="168"/>
      <c r="D33" s="168"/>
      <c r="E33" s="168"/>
      <c r="F33" s="168"/>
      <c r="G33" s="168"/>
      <c r="H33" s="168"/>
      <c r="I33" s="168"/>
      <c r="J33"/>
      <c r="K33" s="168"/>
      <c r="L33" s="168"/>
      <c r="M33" s="168"/>
    </row>
    <row r="35" spans="3:13" x14ac:dyDescent="0.35">
      <c r="C35" s="237"/>
      <c r="D35" s="237"/>
      <c r="E35" s="237"/>
      <c r="F35" s="237"/>
      <c r="G35" s="237"/>
      <c r="H35" s="237"/>
      <c r="I35" s="237"/>
      <c r="J35" s="237"/>
      <c r="K35" s="237"/>
      <c r="L35" s="237"/>
      <c r="M35" s="237"/>
    </row>
  </sheetData>
  <mergeCells count="7">
    <mergeCell ref="P5:P6"/>
    <mergeCell ref="P14:P15"/>
    <mergeCell ref="A1:N1"/>
    <mergeCell ref="A5:A6"/>
    <mergeCell ref="B5:B6"/>
    <mergeCell ref="A14:A15"/>
    <mergeCell ref="B14:B15"/>
  </mergeCells>
  <printOptions horizontalCentered="1"/>
  <pageMargins left="0.70866141732283472" right="0.70866141732283472" top="0.74803149606299213" bottom="0.74803149606299213" header="0.31496062992125984" footer="0.31496062992125984"/>
  <pageSetup paperSize="9" scale="68" orientation="landscape" copies="2" r:id="rId1"/>
  <headerFooter>
    <oddHeader>&amp;L&amp;F&amp;R&amp;A</oddHeader>
    <oddFooter>&amp;L&amp;D&amp;C&amp;P/&amp;N&amp;R&amp;T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7" tint="0.59999389629810485"/>
    <pageSetUpPr fitToPage="1"/>
  </sheetPr>
  <dimension ref="A1:P35"/>
  <sheetViews>
    <sheetView showGridLines="0" zoomScale="85" zoomScaleNormal="85" workbookViewId="0">
      <selection sqref="A1:N1"/>
    </sheetView>
  </sheetViews>
  <sheetFormatPr baseColWidth="10" defaultColWidth="11.453125" defaultRowHeight="14.5" x14ac:dyDescent="0.35"/>
  <cols>
    <col min="1" max="1" width="29.81640625" style="29" customWidth="1"/>
    <col min="2" max="2" width="8" style="11" customWidth="1"/>
    <col min="3" max="9" width="10.26953125" style="11" bestFit="1" customWidth="1"/>
    <col min="10" max="10" width="6.7265625" style="11" customWidth="1"/>
    <col min="11" max="13" width="10.26953125" style="11" customWidth="1"/>
    <col min="14" max="14" width="9.81640625" style="11" bestFit="1" customWidth="1"/>
    <col min="15" max="15" width="6.26953125" customWidth="1"/>
    <col min="16" max="16" width="27.81640625" bestFit="1" customWidth="1"/>
    <col min="17" max="17" width="6.7265625" customWidth="1"/>
    <col min="18" max="18" width="8.81640625" bestFit="1" customWidth="1"/>
    <col min="19" max="19" width="10.81640625" bestFit="1" customWidth="1"/>
    <col min="20" max="20" width="12" bestFit="1" customWidth="1"/>
    <col min="21" max="21" width="8.81640625" bestFit="1" customWidth="1"/>
    <col min="22" max="22" width="10.81640625" bestFit="1" customWidth="1"/>
    <col min="23" max="23" width="12" bestFit="1" customWidth="1"/>
    <col min="24" max="24" width="8.81640625" bestFit="1" customWidth="1"/>
    <col min="25" max="25" width="10.81640625" bestFit="1" customWidth="1"/>
    <col min="26" max="26" width="12" bestFit="1" customWidth="1"/>
    <col min="27" max="27" width="8.81640625" bestFit="1" customWidth="1"/>
    <col min="28" max="28" width="12" bestFit="1" customWidth="1"/>
    <col min="29" max="29" width="13.1796875" bestFit="1" customWidth="1"/>
    <col min="30" max="30" width="8.7265625" bestFit="1" customWidth="1"/>
  </cols>
  <sheetData>
    <row r="1" spans="1:16" x14ac:dyDescent="0.35">
      <c r="A1" s="691" t="s">
        <v>311</v>
      </c>
      <c r="B1" s="680"/>
      <c r="C1" s="680"/>
      <c r="D1" s="680"/>
      <c r="E1" s="680"/>
      <c r="F1" s="680"/>
      <c r="G1" s="680"/>
      <c r="H1" s="680"/>
      <c r="I1" s="680"/>
      <c r="J1" s="680"/>
      <c r="K1" s="680"/>
      <c r="L1" s="680"/>
      <c r="M1" s="680"/>
      <c r="N1" s="681"/>
    </row>
    <row r="3" spans="1:16" x14ac:dyDescent="0.35">
      <c r="A3" s="42" t="s">
        <v>69</v>
      </c>
      <c r="B3" s="43"/>
      <c r="C3" s="44"/>
      <c r="D3" s="44"/>
      <c r="E3" s="44"/>
      <c r="F3" s="44"/>
      <c r="G3" s="44"/>
      <c r="H3" s="44"/>
      <c r="I3" s="44"/>
      <c r="J3" s="44"/>
      <c r="K3" s="44"/>
      <c r="L3" s="44"/>
      <c r="M3" s="44"/>
      <c r="N3" s="44"/>
    </row>
    <row r="4" spans="1:16" x14ac:dyDescent="0.35">
      <c r="A4"/>
      <c r="B4"/>
      <c r="C4"/>
      <c r="D4"/>
      <c r="E4"/>
      <c r="F4"/>
      <c r="G4"/>
      <c r="H4"/>
      <c r="I4"/>
      <c r="J4"/>
      <c r="K4"/>
      <c r="L4"/>
      <c r="M4"/>
      <c r="N4"/>
    </row>
    <row r="5" spans="1:16" ht="22.9" customHeight="1" x14ac:dyDescent="0.35">
      <c r="A5" s="666" t="s">
        <v>103</v>
      </c>
      <c r="B5" s="655"/>
      <c r="C5" s="3" t="str">
        <f>'2. CEP offre de base'!C$12</f>
        <v>Année 0</v>
      </c>
      <c r="D5" s="3" t="str">
        <f>'2. CEP offre de base'!D$12</f>
        <v>Année 1</v>
      </c>
      <c r="E5" s="3" t="str">
        <f>'2. CEP offre de base'!E$12</f>
        <v>Année 2</v>
      </c>
      <c r="F5" s="3" t="e">
        <f>'2. CEP offre de base'!#REF!</f>
        <v>#REF!</v>
      </c>
      <c r="G5" s="3" t="e">
        <f>'2. CEP offre de base'!#REF!</f>
        <v>#REF!</v>
      </c>
      <c r="H5" s="3" t="e">
        <f>'2. CEP offre de base'!#REF!</f>
        <v>#REF!</v>
      </c>
      <c r="I5" s="3" t="str">
        <f>'2. CEP offre de base'!G$12</f>
        <v>Année 4</v>
      </c>
      <c r="J5"/>
      <c r="K5" s="181" t="s">
        <v>280</v>
      </c>
      <c r="L5" s="181" t="s">
        <v>281</v>
      </c>
      <c r="M5" s="181" t="s">
        <v>256</v>
      </c>
      <c r="N5" s="4" t="s">
        <v>59</v>
      </c>
      <c r="P5" s="661" t="s">
        <v>290</v>
      </c>
    </row>
    <row r="6" spans="1:16" ht="20.25" customHeight="1" x14ac:dyDescent="0.35">
      <c r="A6" s="669"/>
      <c r="B6" s="656"/>
      <c r="C6" s="77">
        <f>'2. CEP offre de base'!C$13</f>
        <v>12</v>
      </c>
      <c r="D6" s="77">
        <f>'2. CEP offre de base'!D$13</f>
        <v>12</v>
      </c>
      <c r="E6" s="77">
        <f>'2. CEP offre de base'!E$13</f>
        <v>12</v>
      </c>
      <c r="F6" s="77" t="e">
        <f>'2. CEP offre de base'!#REF!</f>
        <v>#REF!</v>
      </c>
      <c r="G6" s="77" t="e">
        <f>'2. CEP offre de base'!#REF!</f>
        <v>#REF!</v>
      </c>
      <c r="H6" s="77" t="e">
        <f>'2. CEP offre de base'!#REF!</f>
        <v>#REF!</v>
      </c>
      <c r="I6" s="77">
        <f>'2. CEP offre de base'!G$13</f>
        <v>12</v>
      </c>
      <c r="J6"/>
      <c r="K6" s="78">
        <v>12</v>
      </c>
      <c r="L6" s="78">
        <v>12</v>
      </c>
      <c r="M6" s="78">
        <v>12</v>
      </c>
      <c r="N6" s="78" t="e">
        <f>SUM(C6:I6)</f>
        <v>#REF!</v>
      </c>
      <c r="P6" s="662"/>
    </row>
    <row r="7" spans="1:16" x14ac:dyDescent="0.35">
      <c r="A7" s="25" t="s">
        <v>170</v>
      </c>
      <c r="B7" s="76"/>
      <c r="C7" s="75">
        <v>2938829</v>
      </c>
      <c r="D7" s="75">
        <v>2938829</v>
      </c>
      <c r="E7" s="75">
        <v>3338039</v>
      </c>
      <c r="F7" s="75">
        <v>3338039</v>
      </c>
      <c r="G7" s="75">
        <v>3338039</v>
      </c>
      <c r="H7" s="75">
        <v>3338039</v>
      </c>
      <c r="I7" s="75">
        <v>3338039</v>
      </c>
      <c r="J7"/>
      <c r="K7" s="220">
        <f>IFERROR(AVERAGE(C7:D7),"")</f>
        <v>2938829</v>
      </c>
      <c r="L7" s="220">
        <f t="shared" ref="L7:L9" si="0">IFERROR(AVERAGE(E7:I7),"")</f>
        <v>3338039</v>
      </c>
      <c r="M7" s="220">
        <f t="shared" ref="M7:M9" si="1">IFERROR(AVERAGE(C7:I7),"")</f>
        <v>3223979</v>
      </c>
      <c r="N7" s="10">
        <f>SUM(C7:I7)</f>
        <v>22567853</v>
      </c>
      <c r="P7" s="188"/>
    </row>
    <row r="8" spans="1:16" x14ac:dyDescent="0.35">
      <c r="A8" s="25" t="s">
        <v>158</v>
      </c>
      <c r="B8" s="76"/>
      <c r="C8" s="75">
        <v>151.80000000000001</v>
      </c>
      <c r="D8" s="75">
        <v>151.80000000000001</v>
      </c>
      <c r="E8" s="75">
        <v>151.80000000000001</v>
      </c>
      <c r="F8" s="75">
        <v>151.80000000000001</v>
      </c>
      <c r="G8" s="75">
        <v>151.80000000000001</v>
      </c>
      <c r="H8" s="75">
        <v>151.80000000000001</v>
      </c>
      <c r="I8" s="75">
        <v>151.80000000000001</v>
      </c>
      <c r="J8"/>
      <c r="K8" s="221">
        <f t="shared" ref="K8:K9" si="2">IFERROR(AVERAGE(C8:D8),"")</f>
        <v>151.80000000000001</v>
      </c>
      <c r="L8" s="221">
        <f t="shared" si="0"/>
        <v>151.80000000000001</v>
      </c>
      <c r="M8" s="221">
        <f t="shared" si="1"/>
        <v>151.79999999999998</v>
      </c>
      <c r="N8" s="14">
        <f t="shared" ref="N8:N9" si="3">SUM(C8:I8)</f>
        <v>1062.5999999999999</v>
      </c>
      <c r="P8" s="189"/>
    </row>
    <row r="9" spans="1:16" x14ac:dyDescent="0.35">
      <c r="A9" s="52" t="s">
        <v>292</v>
      </c>
      <c r="B9" s="219"/>
      <c r="C9" s="232">
        <v>216828.91649999999</v>
      </c>
      <c r="D9" s="232">
        <v>216828.91649999999</v>
      </c>
      <c r="E9" s="232">
        <v>246466.40859999997</v>
      </c>
      <c r="F9" s="232">
        <v>246466.40859999997</v>
      </c>
      <c r="G9" s="232">
        <v>246466.40859999997</v>
      </c>
      <c r="H9" s="232">
        <v>246466.40859999997</v>
      </c>
      <c r="I9" s="232">
        <v>246466.40859999997</v>
      </c>
      <c r="J9"/>
      <c r="K9" s="222">
        <f t="shared" si="2"/>
        <v>216828.91649999999</v>
      </c>
      <c r="L9" s="222">
        <f t="shared" si="0"/>
        <v>246466.40859999997</v>
      </c>
      <c r="M9" s="222">
        <f t="shared" si="1"/>
        <v>237998.55371428566</v>
      </c>
      <c r="N9" s="16">
        <f t="shared" si="3"/>
        <v>1665989.8759999997</v>
      </c>
      <c r="P9" s="204"/>
    </row>
    <row r="10" spans="1:16" ht="13.15" customHeight="1" x14ac:dyDescent="0.35">
      <c r="A10"/>
      <c r="B10"/>
      <c r="C10"/>
      <c r="D10"/>
      <c r="E10"/>
      <c r="F10"/>
      <c r="G10"/>
      <c r="H10"/>
      <c r="I10"/>
      <c r="J10"/>
      <c r="K10"/>
      <c r="L10"/>
      <c r="M10"/>
      <c r="N10"/>
    </row>
    <row r="11" spans="1:16" x14ac:dyDescent="0.35">
      <c r="J11"/>
    </row>
    <row r="12" spans="1:16" x14ac:dyDescent="0.35">
      <c r="A12" s="42" t="s">
        <v>98</v>
      </c>
      <c r="B12" s="43"/>
      <c r="C12" s="44"/>
      <c r="D12" s="44"/>
      <c r="E12" s="44"/>
      <c r="F12" s="44"/>
      <c r="G12" s="44"/>
      <c r="H12" s="44"/>
      <c r="I12" s="44"/>
      <c r="J12"/>
      <c r="K12" s="44"/>
      <c r="L12" s="44"/>
      <c r="M12" s="44"/>
      <c r="N12" s="44"/>
    </row>
    <row r="13" spans="1:16" x14ac:dyDescent="0.35">
      <c r="J13"/>
    </row>
    <row r="14" spans="1:16" ht="26" x14ac:dyDescent="0.35">
      <c r="A14" s="666" t="s">
        <v>180</v>
      </c>
      <c r="B14" s="655"/>
      <c r="C14" s="3" t="str">
        <f>'2. CEP offre de base'!C$12</f>
        <v>Année 0</v>
      </c>
      <c r="D14" s="3" t="str">
        <f>'2. CEP offre de base'!D$12</f>
        <v>Année 1</v>
      </c>
      <c r="E14" s="3" t="str">
        <f>'2. CEP offre de base'!E$12</f>
        <v>Année 2</v>
      </c>
      <c r="F14" s="3" t="e">
        <f>'2. CEP offre de base'!#REF!</f>
        <v>#REF!</v>
      </c>
      <c r="G14" s="3" t="e">
        <f>'2. CEP offre de base'!#REF!</f>
        <v>#REF!</v>
      </c>
      <c r="H14" s="3" t="e">
        <f>'2. CEP offre de base'!#REF!</f>
        <v>#REF!</v>
      </c>
      <c r="I14" s="121" t="str">
        <f>'2. CEP offre de base'!G$12</f>
        <v>Année 4</v>
      </c>
      <c r="J14"/>
      <c r="K14" s="181" t="s">
        <v>280</v>
      </c>
      <c r="L14" s="181" t="s">
        <v>281</v>
      </c>
      <c r="M14" s="181" t="s">
        <v>256</v>
      </c>
      <c r="N14" s="4" t="s">
        <v>59</v>
      </c>
      <c r="P14" s="663" t="s">
        <v>290</v>
      </c>
    </row>
    <row r="15" spans="1:16" x14ac:dyDescent="0.35">
      <c r="A15" s="669"/>
      <c r="B15" s="656"/>
      <c r="C15" s="77">
        <f>'2. CEP offre de base'!C$13</f>
        <v>12</v>
      </c>
      <c r="D15" s="77">
        <f>'2. CEP offre de base'!D$13</f>
        <v>12</v>
      </c>
      <c r="E15" s="77">
        <f>'2. CEP offre de base'!E$13</f>
        <v>12</v>
      </c>
      <c r="F15" s="77" t="e">
        <f>'2. CEP offre de base'!#REF!</f>
        <v>#REF!</v>
      </c>
      <c r="G15" s="77" t="e">
        <f>'2. CEP offre de base'!#REF!</f>
        <v>#REF!</v>
      </c>
      <c r="H15" s="77" t="e">
        <f>'2. CEP offre de base'!#REF!</f>
        <v>#REF!</v>
      </c>
      <c r="I15" s="183">
        <f>'2. CEP offre de base'!G$13</f>
        <v>12</v>
      </c>
      <c r="J15"/>
      <c r="K15" s="78">
        <v>12</v>
      </c>
      <c r="L15" s="78">
        <v>12</v>
      </c>
      <c r="M15" s="78">
        <v>12</v>
      </c>
      <c r="N15" s="78" t="e">
        <f>SUM(C15:I15)</f>
        <v>#REF!</v>
      </c>
      <c r="P15" s="663"/>
    </row>
    <row r="16" spans="1:16" x14ac:dyDescent="0.35">
      <c r="A16" s="21" t="s">
        <v>205</v>
      </c>
      <c r="B16" s="151"/>
      <c r="C16" s="223">
        <f>SUM(C17:C19)</f>
        <v>6539800.5656051561</v>
      </c>
      <c r="D16" s="223">
        <f t="shared" ref="D16:I16" si="4">SUM(D17:D19)</f>
        <v>6589323.549562674</v>
      </c>
      <c r="E16" s="223">
        <f t="shared" si="4"/>
        <v>7046481.9224769892</v>
      </c>
      <c r="F16" s="223">
        <f t="shared" si="4"/>
        <v>7140206.4871760374</v>
      </c>
      <c r="G16" s="223">
        <f t="shared" si="4"/>
        <v>7157526.9580582371</v>
      </c>
      <c r="H16" s="223">
        <f t="shared" si="4"/>
        <v>7174852.2362771137</v>
      </c>
      <c r="I16" s="224">
        <f t="shared" si="4"/>
        <v>7192182.3052746849</v>
      </c>
      <c r="J16"/>
      <c r="K16" s="225">
        <f t="shared" ref="K16:K28" si="5">IFERROR(AVERAGE(C16:D16),"")</f>
        <v>6564562.0575839151</v>
      </c>
      <c r="L16" s="226">
        <f t="shared" ref="L16:L28" si="6">IFERROR(AVERAGE(E16:I16),"")</f>
        <v>7142249.9818526134</v>
      </c>
      <c r="M16" s="223">
        <f t="shared" ref="M16:M28" si="7">IFERROR(AVERAGE(C16:I16),"")</f>
        <v>6977196.2892044131</v>
      </c>
      <c r="N16" s="226">
        <f t="shared" ref="N16:N28" si="8">SUM(C16:I16)</f>
        <v>48840374.024430893</v>
      </c>
      <c r="P16" s="190"/>
    </row>
    <row r="17" spans="1:16" x14ac:dyDescent="0.35">
      <c r="A17" s="25" t="s">
        <v>1</v>
      </c>
      <c r="B17" s="12"/>
      <c r="C17" s="13">
        <v>2573868.3813550496</v>
      </c>
      <c r="D17" s="13">
        <v>2589712.2861061962</v>
      </c>
      <c r="E17" s="13">
        <v>2773903.5899692597</v>
      </c>
      <c r="F17" s="13">
        <v>2766046.5717674736</v>
      </c>
      <c r="G17" s="13">
        <v>2768959.6463431241</v>
      </c>
      <c r="H17" s="13">
        <v>2771871.7986859162</v>
      </c>
      <c r="I17" s="159">
        <v>2774783.0319015747</v>
      </c>
      <c r="J17"/>
      <c r="K17" s="208">
        <f t="shared" si="5"/>
        <v>2581790.3337306231</v>
      </c>
      <c r="L17" s="14">
        <f t="shared" si="6"/>
        <v>2771112.9277334698</v>
      </c>
      <c r="M17" s="214">
        <f t="shared" si="7"/>
        <v>2717020.7580183707</v>
      </c>
      <c r="N17" s="14">
        <f t="shared" si="8"/>
        <v>19019145.306128595</v>
      </c>
      <c r="O17" s="163"/>
      <c r="P17" s="189" t="s">
        <v>300</v>
      </c>
    </row>
    <row r="18" spans="1:16" x14ac:dyDescent="0.35">
      <c r="A18" s="25" t="s">
        <v>163</v>
      </c>
      <c r="B18" s="12"/>
      <c r="C18" s="13">
        <v>3577847.5778278792</v>
      </c>
      <c r="D18" s="13">
        <v>3609403.9179909676</v>
      </c>
      <c r="E18" s="13">
        <v>3843131.000144091</v>
      </c>
      <c r="F18" s="13">
        <v>3946221.2206218773</v>
      </c>
      <c r="G18" s="13">
        <v>3960472.6178578669</v>
      </c>
      <c r="H18" s="13">
        <v>3974730.1004116242</v>
      </c>
      <c r="I18" s="159">
        <v>3988993.6474112887</v>
      </c>
      <c r="J18"/>
      <c r="K18" s="208">
        <f t="shared" si="5"/>
        <v>3593625.7479094234</v>
      </c>
      <c r="L18" s="14">
        <f t="shared" si="6"/>
        <v>3942709.7172893495</v>
      </c>
      <c r="M18" s="214">
        <f t="shared" si="7"/>
        <v>3842971.440323656</v>
      </c>
      <c r="N18" s="14">
        <f t="shared" si="8"/>
        <v>26900800.082265593</v>
      </c>
      <c r="O18" s="163"/>
      <c r="P18" s="189" t="s">
        <v>296</v>
      </c>
    </row>
    <row r="19" spans="1:16" x14ac:dyDescent="0.35">
      <c r="A19" s="25" t="s">
        <v>2</v>
      </c>
      <c r="B19" s="12"/>
      <c r="C19" s="13">
        <v>388084.60642222734</v>
      </c>
      <c r="D19" s="13">
        <v>390207.34546551056</v>
      </c>
      <c r="E19" s="13">
        <v>429447.33236363775</v>
      </c>
      <c r="F19" s="13">
        <v>427938.69478668657</v>
      </c>
      <c r="G19" s="13">
        <v>428094.69385724573</v>
      </c>
      <c r="H19" s="13">
        <v>428250.33717957302</v>
      </c>
      <c r="I19" s="159">
        <v>428405.62596182182</v>
      </c>
      <c r="J19"/>
      <c r="K19" s="208">
        <f t="shared" si="5"/>
        <v>389145.97594386898</v>
      </c>
      <c r="L19" s="14">
        <f t="shared" si="6"/>
        <v>428427.336829793</v>
      </c>
      <c r="M19" s="214">
        <f t="shared" si="7"/>
        <v>417204.0908623861</v>
      </c>
      <c r="N19" s="14">
        <f t="shared" si="8"/>
        <v>2920428.6360367029</v>
      </c>
      <c r="O19" s="163"/>
      <c r="P19" s="189" t="s">
        <v>297</v>
      </c>
    </row>
    <row r="20" spans="1:16" x14ac:dyDescent="0.35">
      <c r="A20" s="105" t="s">
        <v>159</v>
      </c>
      <c r="B20" s="157"/>
      <c r="C20" s="223">
        <f>SUM(C21:C28)</f>
        <v>6319166.5271975826</v>
      </c>
      <c r="D20" s="223">
        <f t="shared" ref="D20:I20" si="9">SUM(D21:D28)</f>
        <v>6151145.8169663269</v>
      </c>
      <c r="E20" s="223">
        <f t="shared" si="9"/>
        <v>6683118.9629579186</v>
      </c>
      <c r="F20" s="223">
        <f t="shared" si="9"/>
        <v>6664127.8821271332</v>
      </c>
      <c r="G20" s="223">
        <f t="shared" si="9"/>
        <v>6667680.9453699328</v>
      </c>
      <c r="H20" s="223">
        <f t="shared" si="9"/>
        <v>6671229.3002558649</v>
      </c>
      <c r="I20" s="224">
        <f t="shared" si="9"/>
        <v>6674772.9627544321</v>
      </c>
      <c r="J20"/>
      <c r="K20" s="225">
        <f t="shared" si="5"/>
        <v>6235156.1720819548</v>
      </c>
      <c r="L20" s="226">
        <f t="shared" si="6"/>
        <v>6672186.0106930565</v>
      </c>
      <c r="M20" s="223">
        <f t="shared" si="7"/>
        <v>6547320.3425184553</v>
      </c>
      <c r="N20" s="226">
        <f t="shared" si="8"/>
        <v>45831242.397629187</v>
      </c>
      <c r="O20" s="163"/>
      <c r="P20" s="190"/>
    </row>
    <row r="21" spans="1:16" x14ac:dyDescent="0.35">
      <c r="A21" s="32" t="s">
        <v>3</v>
      </c>
      <c r="B21" s="8"/>
      <c r="C21" s="9">
        <v>0</v>
      </c>
      <c r="D21" s="9">
        <v>0</v>
      </c>
      <c r="E21" s="9">
        <v>0</v>
      </c>
      <c r="F21" s="9">
        <v>0</v>
      </c>
      <c r="G21" s="9">
        <v>0</v>
      </c>
      <c r="H21" s="9">
        <v>0</v>
      </c>
      <c r="I21" s="184">
        <v>0</v>
      </c>
      <c r="J21"/>
      <c r="K21" s="208">
        <f t="shared" si="5"/>
        <v>0</v>
      </c>
      <c r="L21" s="14">
        <f t="shared" si="6"/>
        <v>0</v>
      </c>
      <c r="M21" s="214">
        <f t="shared" si="7"/>
        <v>0</v>
      </c>
      <c r="N21" s="14">
        <f t="shared" si="8"/>
        <v>0</v>
      </c>
      <c r="O21" s="163"/>
      <c r="P21" s="189"/>
    </row>
    <row r="22" spans="1:16" x14ac:dyDescent="0.35">
      <c r="A22" s="25" t="s">
        <v>162</v>
      </c>
      <c r="B22" s="12"/>
      <c r="C22" s="13">
        <v>774008.21847757488</v>
      </c>
      <c r="D22" s="13">
        <v>778282.80198092654</v>
      </c>
      <c r="E22" s="13">
        <v>839036.70574317116</v>
      </c>
      <c r="F22" s="13">
        <v>836061.69942632387</v>
      </c>
      <c r="G22" s="13">
        <v>836363.17974675354</v>
      </c>
      <c r="H22" s="13">
        <v>836663.97313699906</v>
      </c>
      <c r="I22" s="159">
        <v>836964.08192739077</v>
      </c>
      <c r="J22"/>
      <c r="K22" s="208">
        <f t="shared" si="5"/>
        <v>776145.51022925065</v>
      </c>
      <c r="L22" s="14">
        <f t="shared" si="6"/>
        <v>837017.92799612763</v>
      </c>
      <c r="M22" s="214">
        <f t="shared" si="7"/>
        <v>819625.80863416276</v>
      </c>
      <c r="N22" s="14">
        <f t="shared" si="8"/>
        <v>5737380.6604391392</v>
      </c>
      <c r="O22" s="163"/>
      <c r="P22" s="189" t="s">
        <v>296</v>
      </c>
    </row>
    <row r="23" spans="1:16" x14ac:dyDescent="0.35">
      <c r="A23" s="25" t="s">
        <v>4</v>
      </c>
      <c r="B23" s="12"/>
      <c r="C23" s="13">
        <v>406372.47338266455</v>
      </c>
      <c r="D23" s="13">
        <v>408595.24311145511</v>
      </c>
      <c r="E23" s="13">
        <v>440507.12002374209</v>
      </c>
      <c r="F23" s="13">
        <v>438959.62969349674</v>
      </c>
      <c r="G23" s="13">
        <v>439119.64629185392</v>
      </c>
      <c r="H23" s="13">
        <v>439279.29798020411</v>
      </c>
      <c r="I23" s="159">
        <v>439438.58599781478</v>
      </c>
      <c r="J23"/>
      <c r="K23" s="208">
        <f t="shared" si="5"/>
        <v>407483.85824705986</v>
      </c>
      <c r="L23" s="14">
        <f t="shared" si="6"/>
        <v>439460.85599742236</v>
      </c>
      <c r="M23" s="214">
        <f t="shared" si="7"/>
        <v>430324.57092589018</v>
      </c>
      <c r="N23" s="14">
        <f t="shared" si="8"/>
        <v>3012271.9964812314</v>
      </c>
      <c r="O23" s="163"/>
      <c r="P23" s="189" t="s">
        <v>296</v>
      </c>
    </row>
    <row r="24" spans="1:16" x14ac:dyDescent="0.35">
      <c r="A24" s="25" t="s">
        <v>5</v>
      </c>
      <c r="B24" s="12"/>
      <c r="C24" s="13">
        <v>354719.76643276383</v>
      </c>
      <c r="D24" s="13">
        <v>164457.50330049309</v>
      </c>
      <c r="E24" s="13">
        <v>182256.35829307738</v>
      </c>
      <c r="F24" s="13">
        <v>179342.45411165064</v>
      </c>
      <c r="G24" s="13">
        <v>179660.43083832564</v>
      </c>
      <c r="H24" s="13">
        <v>179978.44304059824</v>
      </c>
      <c r="I24" s="159">
        <v>180296.49059396671</v>
      </c>
      <c r="J24"/>
      <c r="K24" s="208">
        <f t="shared" si="5"/>
        <v>259588.63486662845</v>
      </c>
      <c r="L24" s="14">
        <f t="shared" si="6"/>
        <v>180306.83537552372</v>
      </c>
      <c r="M24" s="214">
        <f t="shared" si="7"/>
        <v>202958.77808726794</v>
      </c>
      <c r="N24" s="14">
        <f t="shared" si="8"/>
        <v>1420711.4466108757</v>
      </c>
      <c r="O24" s="163"/>
      <c r="P24" s="189" t="s">
        <v>299</v>
      </c>
    </row>
    <row r="25" spans="1:16" x14ac:dyDescent="0.35">
      <c r="A25" s="25" t="s">
        <v>172</v>
      </c>
      <c r="B25" s="12"/>
      <c r="C25" s="13">
        <v>3249761.7779771066</v>
      </c>
      <c r="D25" s="13">
        <v>3267537.2735606031</v>
      </c>
      <c r="E25" s="13">
        <v>3568584.2539535305</v>
      </c>
      <c r="F25" s="13">
        <v>3556047.9080589144</v>
      </c>
      <c r="G25" s="13">
        <v>3557344.2156265154</v>
      </c>
      <c r="H25" s="13">
        <v>3558637.5670282645</v>
      </c>
      <c r="I25" s="159">
        <v>3559927.9723035721</v>
      </c>
      <c r="J25"/>
      <c r="K25" s="208">
        <f t="shared" si="5"/>
        <v>3258649.5257688547</v>
      </c>
      <c r="L25" s="14">
        <f t="shared" si="6"/>
        <v>3560108.3833941594</v>
      </c>
      <c r="M25" s="214">
        <f t="shared" si="7"/>
        <v>3473977.281215501</v>
      </c>
      <c r="N25" s="14">
        <f t="shared" si="8"/>
        <v>24317840.968508508</v>
      </c>
      <c r="O25" s="163"/>
      <c r="P25" s="189" t="s">
        <v>298</v>
      </c>
    </row>
    <row r="26" spans="1:16" x14ac:dyDescent="0.35">
      <c r="A26" s="25" t="s">
        <v>178</v>
      </c>
      <c r="B26" s="12"/>
      <c r="C26" s="13">
        <v>0</v>
      </c>
      <c r="D26" s="13">
        <v>0</v>
      </c>
      <c r="E26" s="13">
        <v>0</v>
      </c>
      <c r="F26" s="13">
        <v>0</v>
      </c>
      <c r="G26" s="13">
        <v>0</v>
      </c>
      <c r="H26" s="13">
        <v>0</v>
      </c>
      <c r="I26" s="159">
        <v>0</v>
      </c>
      <c r="J26"/>
      <c r="K26" s="208">
        <f t="shared" si="5"/>
        <v>0</v>
      </c>
      <c r="L26" s="14">
        <f t="shared" si="6"/>
        <v>0</v>
      </c>
      <c r="M26" s="214">
        <f t="shared" si="7"/>
        <v>0</v>
      </c>
      <c r="N26" s="14">
        <f t="shared" si="8"/>
        <v>0</v>
      </c>
      <c r="O26" s="163"/>
      <c r="P26" s="189"/>
    </row>
    <row r="27" spans="1:16" x14ac:dyDescent="0.35">
      <c r="A27" s="25" t="s">
        <v>6</v>
      </c>
      <c r="B27" s="12"/>
      <c r="C27" s="13">
        <v>832953.68265813519</v>
      </c>
      <c r="D27" s="13">
        <v>837283.15933837323</v>
      </c>
      <c r="E27" s="13">
        <v>903784.52650193381</v>
      </c>
      <c r="F27" s="13">
        <v>900757.11267105769</v>
      </c>
      <c r="G27" s="13">
        <v>901104.48071636073</v>
      </c>
      <c r="H27" s="13">
        <v>901451.11384592857</v>
      </c>
      <c r="I27" s="159">
        <v>901797.01455529965</v>
      </c>
      <c r="J27"/>
      <c r="K27" s="208">
        <f t="shared" si="5"/>
        <v>835118.42099825421</v>
      </c>
      <c r="L27" s="14">
        <f t="shared" si="6"/>
        <v>901778.84965811612</v>
      </c>
      <c r="M27" s="214">
        <f t="shared" si="7"/>
        <v>882733.01289815549</v>
      </c>
      <c r="N27" s="14">
        <f t="shared" si="8"/>
        <v>6179131.0902870884</v>
      </c>
      <c r="O27" s="163"/>
      <c r="P27" s="189" t="s">
        <v>299</v>
      </c>
    </row>
    <row r="28" spans="1:16" x14ac:dyDescent="0.35">
      <c r="A28" s="25" t="s">
        <v>192</v>
      </c>
      <c r="B28" s="12"/>
      <c r="C28" s="13">
        <v>701350.6082693371</v>
      </c>
      <c r="D28" s="13">
        <v>694989.83567447634</v>
      </c>
      <c r="E28" s="13">
        <v>748949.99844246404</v>
      </c>
      <c r="F28" s="13">
        <v>752959.07816568972</v>
      </c>
      <c r="G28" s="13">
        <v>754088.99215012393</v>
      </c>
      <c r="H28" s="13">
        <v>755218.90522387112</v>
      </c>
      <c r="I28" s="159">
        <v>756348.81737638859</v>
      </c>
      <c r="J28"/>
      <c r="K28" s="208">
        <f t="shared" si="5"/>
        <v>698170.22197190672</v>
      </c>
      <c r="L28" s="14">
        <f t="shared" si="6"/>
        <v>753513.15827170748</v>
      </c>
      <c r="M28" s="214">
        <f t="shared" si="7"/>
        <v>737700.89075747877</v>
      </c>
      <c r="N28" s="14">
        <f t="shared" si="8"/>
        <v>5163906.2353023514</v>
      </c>
      <c r="O28" s="163"/>
      <c r="P28" s="189"/>
    </row>
    <row r="29" spans="1:16" x14ac:dyDescent="0.35">
      <c r="A29" s="96" t="s">
        <v>181</v>
      </c>
      <c r="B29" s="57"/>
      <c r="C29" s="60">
        <f>C16+C20</f>
        <v>12858967.092802739</v>
      </c>
      <c r="D29" s="19">
        <f t="shared" ref="D29:I29" si="10">D16+D20</f>
        <v>12740469.366529001</v>
      </c>
      <c r="E29" s="19">
        <f t="shared" si="10"/>
        <v>13729600.885434907</v>
      </c>
      <c r="F29" s="19">
        <f t="shared" si="10"/>
        <v>13804334.369303171</v>
      </c>
      <c r="G29" s="19">
        <f t="shared" si="10"/>
        <v>13825207.903428171</v>
      </c>
      <c r="H29" s="19">
        <f t="shared" si="10"/>
        <v>13846081.536532979</v>
      </c>
      <c r="I29" s="35">
        <f t="shared" si="10"/>
        <v>13866955.268029116</v>
      </c>
      <c r="J29"/>
      <c r="K29" s="60">
        <f t="shared" ref="K29:N29" si="11">K16+K20</f>
        <v>12799718.22966587</v>
      </c>
      <c r="L29" s="20">
        <f t="shared" si="11"/>
        <v>13814435.99254567</v>
      </c>
      <c r="M29" s="35">
        <f t="shared" si="11"/>
        <v>13524516.631722867</v>
      </c>
      <c r="N29" s="20">
        <f t="shared" si="11"/>
        <v>94671616.422060072</v>
      </c>
      <c r="O29" s="163"/>
      <c r="P29" s="190"/>
    </row>
    <row r="30" spans="1:16" x14ac:dyDescent="0.35">
      <c r="C30" s="168"/>
      <c r="D30" s="168"/>
      <c r="E30" s="168"/>
      <c r="F30" s="168"/>
      <c r="G30" s="168"/>
      <c r="H30" s="168"/>
      <c r="I30" s="168"/>
      <c r="J30"/>
      <c r="K30" s="168"/>
      <c r="L30" s="168"/>
      <c r="M30" s="168"/>
    </row>
    <row r="33" spans="3:13" x14ac:dyDescent="0.35">
      <c r="C33" s="168"/>
      <c r="D33" s="168"/>
      <c r="E33" s="168"/>
      <c r="F33" s="168"/>
      <c r="G33" s="168"/>
      <c r="H33" s="168"/>
      <c r="I33" s="168"/>
      <c r="J33"/>
      <c r="K33" s="168"/>
      <c r="L33" s="168"/>
      <c r="M33" s="168"/>
    </row>
    <row r="35" spans="3:13" x14ac:dyDescent="0.35">
      <c r="C35" s="237"/>
      <c r="D35" s="237"/>
      <c r="E35" s="237"/>
      <c r="F35" s="237"/>
      <c r="G35" s="237"/>
      <c r="H35" s="237"/>
      <c r="I35" s="237"/>
      <c r="J35" s="237"/>
      <c r="K35" s="237"/>
      <c r="L35" s="237"/>
      <c r="M35" s="237"/>
    </row>
  </sheetData>
  <mergeCells count="7">
    <mergeCell ref="P5:P6"/>
    <mergeCell ref="P14:P15"/>
    <mergeCell ref="A1:N1"/>
    <mergeCell ref="A5:A6"/>
    <mergeCell ref="B5:B6"/>
    <mergeCell ref="A14:A15"/>
    <mergeCell ref="B14:B15"/>
  </mergeCells>
  <printOptions horizontalCentered="1"/>
  <pageMargins left="0.70866141732283472" right="0.70866141732283472" top="0.74803149606299213" bottom="0.74803149606299213" header="0.31496062992125984" footer="0.31496062992125984"/>
  <pageSetup paperSize="9" scale="68" orientation="landscape" copies="2" r:id="rId1"/>
  <headerFooter>
    <oddHeader>&amp;L&amp;F&amp;R&amp;A</oddHeader>
    <oddFooter>&amp;L&amp;D&amp;C&amp;P/&amp;N&amp;R&amp;T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8"/>
    <pageSetUpPr fitToPage="1"/>
  </sheetPr>
  <dimension ref="A1:N68"/>
  <sheetViews>
    <sheetView showGridLines="0" view="pageBreakPreview" zoomScale="85" zoomScaleNormal="100" zoomScaleSheetLayoutView="85" workbookViewId="0">
      <pane xSplit="2" ySplit="4" topLeftCell="C5" activePane="bottomRight" state="frozen"/>
      <selection sqref="A1:H1"/>
      <selection pane="topRight" sqref="A1:H1"/>
      <selection pane="bottomLeft" sqref="A1:H1"/>
      <selection pane="bottomRight" sqref="A1:I1"/>
    </sheetView>
  </sheetViews>
  <sheetFormatPr baseColWidth="10" defaultColWidth="11.26953125" defaultRowHeight="13" x14ac:dyDescent="0.3"/>
  <cols>
    <col min="1" max="1" width="51" style="2" bestFit="1" customWidth="1"/>
    <col min="2" max="7" width="12.453125" style="2" customWidth="1"/>
    <col min="8" max="8" width="12.81640625" style="2" bestFit="1" customWidth="1"/>
    <col min="9" max="9" width="12.453125" style="2" bestFit="1" customWidth="1"/>
    <col min="10" max="16384" width="11.26953125" style="2"/>
  </cols>
  <sheetData>
    <row r="1" spans="1:12" ht="30" customHeight="1" x14ac:dyDescent="0.3">
      <c r="A1" s="692" t="s">
        <v>387</v>
      </c>
      <c r="B1" s="693"/>
      <c r="C1" s="693"/>
      <c r="D1" s="693"/>
      <c r="E1" s="693"/>
      <c r="F1" s="693"/>
      <c r="G1" s="693"/>
      <c r="H1" s="693"/>
      <c r="I1" s="694"/>
      <c r="J1" s="1"/>
    </row>
    <row r="2" spans="1:12" x14ac:dyDescent="0.3">
      <c r="H2" s="11"/>
    </row>
    <row r="3" spans="1:12" ht="26" x14ac:dyDescent="0.3">
      <c r="A3" s="668" t="s">
        <v>149</v>
      </c>
      <c r="B3" s="655" t="s">
        <v>0</v>
      </c>
      <c r="C3" s="3" t="str">
        <f>Annee0</f>
        <v>Année 0</v>
      </c>
      <c r="D3" s="3" t="str">
        <f>Annee1</f>
        <v>Année 1</v>
      </c>
      <c r="E3" s="3" t="str">
        <f>Annee2</f>
        <v>Année 2</v>
      </c>
      <c r="F3" s="516" t="str">
        <f>Annee3</f>
        <v>Année 3</v>
      </c>
      <c r="G3" s="541" t="str">
        <f>Annee4</f>
        <v>Année 4</v>
      </c>
      <c r="H3" s="181" t="s">
        <v>256</v>
      </c>
      <c r="I3" s="4" t="s">
        <v>59</v>
      </c>
    </row>
    <row r="4" spans="1:12" x14ac:dyDescent="0.3">
      <c r="A4" s="667"/>
      <c r="B4" s="656"/>
      <c r="C4" s="269">
        <v>12</v>
      </c>
      <c r="D4" s="77">
        <v>12</v>
      </c>
      <c r="E4" s="77">
        <v>12</v>
      </c>
      <c r="F4" s="77">
        <v>12</v>
      </c>
      <c r="G4" s="183">
        <v>12</v>
      </c>
      <c r="H4" s="78">
        <f t="shared" ref="H4:H35" si="0">IFERROR(AVERAGE(C4:G4),0)</f>
        <v>12</v>
      </c>
      <c r="I4" s="78">
        <f t="shared" ref="I4:I35" si="1">SUM(C4:G4)</f>
        <v>60</v>
      </c>
    </row>
    <row r="5" spans="1:12" x14ac:dyDescent="0.3">
      <c r="A5" s="25" t="s">
        <v>137</v>
      </c>
      <c r="B5" s="93"/>
      <c r="C5" s="283">
        <f>'2. CEP offre de base'!C39</f>
        <v>250000</v>
      </c>
      <c r="D5" s="284">
        <f>'2. CEP offre de base'!D39</f>
        <v>82490473.746940672</v>
      </c>
      <c r="E5" s="284">
        <f>'2. CEP offre de base'!E39</f>
        <v>83076132.979309559</v>
      </c>
      <c r="F5" s="284">
        <f>'2. CEP offre de base'!F39</f>
        <v>83378244.239824861</v>
      </c>
      <c r="G5" s="285">
        <f>'2. CEP offre de base'!G39</f>
        <v>84276392.207335696</v>
      </c>
      <c r="H5" s="419">
        <f t="shared" si="0"/>
        <v>66694248.634682156</v>
      </c>
      <c r="I5" s="420">
        <f t="shared" si="1"/>
        <v>333471243.17341077</v>
      </c>
    </row>
    <row r="6" spans="1:12" s="89" customFormat="1" x14ac:dyDescent="0.3">
      <c r="A6" s="425" t="s">
        <v>138</v>
      </c>
      <c r="B6" s="426"/>
      <c r="C6" s="427">
        <f>C5</f>
        <v>250000</v>
      </c>
      <c r="D6" s="428">
        <f t="shared" ref="D6:G6" si="2">D5</f>
        <v>82490473.746940672</v>
      </c>
      <c r="E6" s="428">
        <f t="shared" si="2"/>
        <v>83076132.979309559</v>
      </c>
      <c r="F6" s="428">
        <f t="shared" ref="F6" si="3">F5</f>
        <v>83378244.239824861</v>
      </c>
      <c r="G6" s="429">
        <f t="shared" si="2"/>
        <v>84276392.207335696</v>
      </c>
      <c r="H6" s="430">
        <f t="shared" si="0"/>
        <v>66694248.634682156</v>
      </c>
      <c r="I6" s="431">
        <f t="shared" si="1"/>
        <v>333471243.17341077</v>
      </c>
      <c r="J6" s="2"/>
      <c r="K6" s="167"/>
    </row>
    <row r="7" spans="1:12" x14ac:dyDescent="0.3">
      <c r="A7" s="21" t="s">
        <v>139</v>
      </c>
      <c r="B7" s="432"/>
      <c r="C7" s="433">
        <f>SUM(C8:C12)</f>
        <v>0</v>
      </c>
      <c r="D7" s="423">
        <f t="shared" ref="D7:G7" si="4">SUM(D8:D12)</f>
        <v>6248522.6460947292</v>
      </c>
      <c r="E7" s="423">
        <f t="shared" si="4"/>
        <v>6553675.680729948</v>
      </c>
      <c r="F7" s="423">
        <f t="shared" ref="F7" si="5">SUM(F8:F12)</f>
        <v>6226653.1575523056</v>
      </c>
      <c r="G7" s="434">
        <f t="shared" si="4"/>
        <v>6753904.7085069902</v>
      </c>
      <c r="H7" s="423">
        <f t="shared" si="0"/>
        <v>5156551.238576794</v>
      </c>
      <c r="I7" s="424">
        <f t="shared" si="1"/>
        <v>25782756.192883972</v>
      </c>
    </row>
    <row r="8" spans="1:12" x14ac:dyDescent="0.3">
      <c r="A8" s="170" t="s">
        <v>136</v>
      </c>
      <c r="B8" s="93"/>
      <c r="C8" s="444"/>
      <c r="D8" s="445">
        <v>3096586.7185436557</v>
      </c>
      <c r="E8" s="445">
        <v>2918268.7740104813</v>
      </c>
      <c r="F8" s="445">
        <v>2759877.7148245606</v>
      </c>
      <c r="G8" s="446">
        <v>2602704.3403737484</v>
      </c>
      <c r="H8" s="289">
        <f t="shared" si="0"/>
        <v>2844359.3869381119</v>
      </c>
      <c r="I8" s="421">
        <f t="shared" si="1"/>
        <v>11377437.547752447</v>
      </c>
      <c r="K8" s="167"/>
    </row>
    <row r="9" spans="1:12" x14ac:dyDescent="0.3">
      <c r="A9" s="170" t="s">
        <v>135</v>
      </c>
      <c r="B9" s="93"/>
      <c r="C9" s="444"/>
      <c r="D9" s="439">
        <v>1728613.290791458</v>
      </c>
      <c r="E9" s="439">
        <v>2123938.6163736391</v>
      </c>
      <c r="F9" s="439">
        <v>1841424.2336696191</v>
      </c>
      <c r="G9" s="440">
        <v>2429083.7690164805</v>
      </c>
      <c r="H9" s="290">
        <f t="shared" si="0"/>
        <v>2030764.9774627993</v>
      </c>
      <c r="I9" s="421">
        <f t="shared" si="1"/>
        <v>8123059.9098511972</v>
      </c>
      <c r="K9" s="167"/>
      <c r="L9" s="167"/>
    </row>
    <row r="10" spans="1:12" x14ac:dyDescent="0.3">
      <c r="A10" s="170" t="s">
        <v>140</v>
      </c>
      <c r="B10" s="93"/>
      <c r="C10" s="444"/>
      <c r="D10" s="439">
        <v>1000322.6367596157</v>
      </c>
      <c r="E10" s="439">
        <v>1088468.2903458271</v>
      </c>
      <c r="F10" s="439">
        <v>1202351.2090581264</v>
      </c>
      <c r="G10" s="440">
        <v>1299116.5991167612</v>
      </c>
      <c r="H10" s="290">
        <f t="shared" si="0"/>
        <v>1147564.6838200826</v>
      </c>
      <c r="I10" s="421">
        <f t="shared" si="1"/>
        <v>4590258.7352803303</v>
      </c>
    </row>
    <row r="11" spans="1:12" x14ac:dyDescent="0.3">
      <c r="A11" s="170" t="s">
        <v>141</v>
      </c>
      <c r="B11" s="93"/>
      <c r="C11" s="438"/>
      <c r="D11" s="439">
        <v>0</v>
      </c>
      <c r="E11" s="439">
        <v>0</v>
      </c>
      <c r="F11" s="439">
        <v>0</v>
      </c>
      <c r="G11" s="440">
        <v>0</v>
      </c>
      <c r="H11" s="290">
        <f t="shared" si="0"/>
        <v>0</v>
      </c>
      <c r="I11" s="421">
        <f t="shared" si="1"/>
        <v>0</v>
      </c>
    </row>
    <row r="12" spans="1:12" x14ac:dyDescent="0.3">
      <c r="A12" s="170" t="s">
        <v>134</v>
      </c>
      <c r="B12" s="93"/>
      <c r="C12" s="438"/>
      <c r="D12" s="439">
        <v>423000</v>
      </c>
      <c r="E12" s="439">
        <v>423000</v>
      </c>
      <c r="F12" s="439">
        <v>423000</v>
      </c>
      <c r="G12" s="440">
        <v>423000</v>
      </c>
      <c r="H12" s="290">
        <f t="shared" si="0"/>
        <v>423000</v>
      </c>
      <c r="I12" s="421">
        <f t="shared" si="1"/>
        <v>1692000</v>
      </c>
    </row>
    <row r="13" spans="1:12" x14ac:dyDescent="0.3">
      <c r="A13" s="21" t="s">
        <v>150</v>
      </c>
      <c r="B13" s="432"/>
      <c r="C13" s="433">
        <f>SUM(C14:C23)</f>
        <v>0</v>
      </c>
      <c r="D13" s="423">
        <f t="shared" ref="D13:G13" si="6">SUM(D14:D23)</f>
        <v>37284554.872855835</v>
      </c>
      <c r="E13" s="423">
        <f t="shared" si="6"/>
        <v>37497493.535147831</v>
      </c>
      <c r="F13" s="423">
        <f t="shared" ref="F13" si="7">SUM(F14:F23)</f>
        <v>37878624.310778841</v>
      </c>
      <c r="G13" s="434">
        <f t="shared" si="6"/>
        <v>38223992.732973672</v>
      </c>
      <c r="H13" s="423">
        <f t="shared" si="0"/>
        <v>30176933.090351235</v>
      </c>
      <c r="I13" s="424">
        <f t="shared" si="1"/>
        <v>150884665.45175618</v>
      </c>
    </row>
    <row r="14" spans="1:12" x14ac:dyDescent="0.3">
      <c r="A14" s="36" t="s">
        <v>133</v>
      </c>
      <c r="B14" s="270"/>
      <c r="C14" s="439"/>
      <c r="D14" s="439">
        <v>214922.01203749602</v>
      </c>
      <c r="E14" s="439">
        <v>214922.01203749602</v>
      </c>
      <c r="F14" s="439">
        <v>214922.01203749602</v>
      </c>
      <c r="G14" s="440">
        <v>214922.01203749602</v>
      </c>
      <c r="H14" s="289">
        <f t="shared" si="0"/>
        <v>214922.01203749602</v>
      </c>
      <c r="I14" s="421">
        <f t="shared" si="1"/>
        <v>859688.0481499841</v>
      </c>
    </row>
    <row r="15" spans="1:12" x14ac:dyDescent="0.3">
      <c r="A15" s="36" t="s">
        <v>132</v>
      </c>
      <c r="B15" s="270"/>
      <c r="C15" s="439"/>
      <c r="D15" s="439">
        <f>'6. SousTraitance'!D39</f>
        <v>32907723.433714472</v>
      </c>
      <c r="E15" s="439">
        <f>'6. SousTraitance'!E39</f>
        <v>33023883.843817703</v>
      </c>
      <c r="F15" s="439">
        <f>'6. SousTraitance'!F39</f>
        <v>33469034.029717274</v>
      </c>
      <c r="G15" s="440">
        <f>'6. SousTraitance'!G39</f>
        <v>33658181.301424801</v>
      </c>
      <c r="H15" s="289">
        <f t="shared" si="0"/>
        <v>33264705.652168564</v>
      </c>
      <c r="I15" s="421">
        <f t="shared" si="1"/>
        <v>133058822.60867426</v>
      </c>
    </row>
    <row r="16" spans="1:12" x14ac:dyDescent="0.3">
      <c r="A16" s="36" t="s">
        <v>131</v>
      </c>
      <c r="B16" s="270"/>
      <c r="C16" s="439"/>
      <c r="D16" s="439">
        <v>1135475.7035616438</v>
      </c>
      <c r="E16" s="439">
        <v>1135471.511780822</v>
      </c>
      <c r="F16" s="439">
        <v>1135472.8937704919</v>
      </c>
      <c r="G16" s="440">
        <v>1135620.32</v>
      </c>
      <c r="H16" s="289">
        <f t="shared" si="0"/>
        <v>1135510.1072782394</v>
      </c>
      <c r="I16" s="421">
        <f t="shared" si="1"/>
        <v>4542040.4291129578</v>
      </c>
    </row>
    <row r="17" spans="1:10" x14ac:dyDescent="0.3">
      <c r="A17" s="272" t="s">
        <v>445</v>
      </c>
      <c r="B17" s="271"/>
      <c r="C17" s="445"/>
      <c r="D17" s="445">
        <v>45000</v>
      </c>
      <c r="E17" s="439">
        <v>45000</v>
      </c>
      <c r="F17" s="439">
        <v>45000</v>
      </c>
      <c r="G17" s="440">
        <v>45000</v>
      </c>
      <c r="H17" s="289">
        <f t="shared" si="0"/>
        <v>45000</v>
      </c>
      <c r="I17" s="421">
        <f t="shared" si="1"/>
        <v>180000</v>
      </c>
    </row>
    <row r="18" spans="1:10" x14ac:dyDescent="0.3">
      <c r="A18" s="272" t="s">
        <v>130</v>
      </c>
      <c r="B18" s="271"/>
      <c r="C18" s="445"/>
      <c r="D18" s="445">
        <v>531254.40226210665</v>
      </c>
      <c r="E18" s="445">
        <v>626053.27578101889</v>
      </c>
      <c r="F18" s="445">
        <v>560102.42086019751</v>
      </c>
      <c r="G18" s="446">
        <v>712572.43630703422</v>
      </c>
      <c r="H18" s="289">
        <f t="shared" si="0"/>
        <v>607495.63380258926</v>
      </c>
      <c r="I18" s="421">
        <f t="shared" si="1"/>
        <v>2429982.535210357</v>
      </c>
      <c r="J18" s="167"/>
    </row>
    <row r="19" spans="1:10" x14ac:dyDescent="0.3">
      <c r="A19" s="272" t="s">
        <v>317</v>
      </c>
      <c r="B19" s="271"/>
      <c r="C19" s="445"/>
      <c r="D19" s="445">
        <f>'4b'!D114+'4b'!D123</f>
        <v>650541.64383561665</v>
      </c>
      <c r="E19" s="439">
        <f>'4b'!E114+'4b'!E123</f>
        <v>650468.49315068498</v>
      </c>
      <c r="F19" s="439">
        <f>'4b'!F114+'4b'!F123</f>
        <v>650500.87431693997</v>
      </c>
      <c r="G19" s="440">
        <f>'4b'!G114+'4b'!G123</f>
        <v>652635.89041095902</v>
      </c>
      <c r="H19" s="289">
        <f t="shared" si="0"/>
        <v>651036.72542855027</v>
      </c>
      <c r="I19" s="421">
        <f t="shared" si="1"/>
        <v>2604146.9017142011</v>
      </c>
    </row>
    <row r="20" spans="1:10" x14ac:dyDescent="0.3">
      <c r="A20" s="272" t="s">
        <v>129</v>
      </c>
      <c r="B20" s="271"/>
      <c r="C20" s="445"/>
      <c r="D20" s="445">
        <v>125693.40111999999</v>
      </c>
      <c r="E20" s="439">
        <v>125693.40111999999</v>
      </c>
      <c r="F20" s="439">
        <v>125693.40111999999</v>
      </c>
      <c r="G20" s="440">
        <v>125693.40111999999</v>
      </c>
      <c r="H20" s="289">
        <f t="shared" si="0"/>
        <v>125693.40111999999</v>
      </c>
      <c r="I20" s="421">
        <f t="shared" si="1"/>
        <v>502773.60447999998</v>
      </c>
    </row>
    <row r="21" spans="1:10" x14ac:dyDescent="0.3">
      <c r="A21" s="272" t="s">
        <v>128</v>
      </c>
      <c r="B21" s="271"/>
      <c r="C21" s="445"/>
      <c r="D21" s="445">
        <v>143807.88740201129</v>
      </c>
      <c r="E21" s="439">
        <v>143795.99572412702</v>
      </c>
      <c r="F21" s="439">
        <v>143799.91629552422</v>
      </c>
      <c r="G21" s="440">
        <v>144218.15028901736</v>
      </c>
      <c r="H21" s="289">
        <f t="shared" si="0"/>
        <v>143905.48742766998</v>
      </c>
      <c r="I21" s="421">
        <f t="shared" si="1"/>
        <v>575621.94971067994</v>
      </c>
    </row>
    <row r="22" spans="1:10" x14ac:dyDescent="0.3">
      <c r="A22" s="272" t="s">
        <v>127</v>
      </c>
      <c r="B22" s="271"/>
      <c r="C22" s="445"/>
      <c r="D22" s="445">
        <v>207503.75657464541</v>
      </c>
      <c r="E22" s="439">
        <v>207503.75657464541</v>
      </c>
      <c r="F22" s="439">
        <v>207503.75657464541</v>
      </c>
      <c r="G22" s="440">
        <v>207503.75657464541</v>
      </c>
      <c r="H22" s="289">
        <f t="shared" si="0"/>
        <v>207503.75657464541</v>
      </c>
      <c r="I22" s="421">
        <f t="shared" si="1"/>
        <v>830015.02629858162</v>
      </c>
    </row>
    <row r="23" spans="1:10" x14ac:dyDescent="0.3">
      <c r="A23" s="272" t="s">
        <v>126</v>
      </c>
      <c r="B23" s="271"/>
      <c r="C23" s="445"/>
      <c r="D23" s="445">
        <v>1322632.6323478341</v>
      </c>
      <c r="E23" s="445">
        <v>1324701.2451613348</v>
      </c>
      <c r="F23" s="445">
        <v>1326595.0060862729</v>
      </c>
      <c r="G23" s="446">
        <v>1327645.4648097211</v>
      </c>
      <c r="H23" s="289">
        <f t="shared" si="0"/>
        <v>1325393.5871012907</v>
      </c>
      <c r="I23" s="421">
        <f t="shared" si="1"/>
        <v>5301574.3484051628</v>
      </c>
    </row>
    <row r="24" spans="1:10" x14ac:dyDescent="0.3">
      <c r="A24" s="21" t="s">
        <v>151</v>
      </c>
      <c r="B24" s="432"/>
      <c r="C24" s="433">
        <f>SUM(C25:C33)</f>
        <v>250000</v>
      </c>
      <c r="D24" s="423">
        <f t="shared" ref="D24:G24" si="8">SUM(D25:D33)</f>
        <v>5949680.7449962115</v>
      </c>
      <c r="E24" s="423">
        <f t="shared" si="8"/>
        <v>5719090.7923973743</v>
      </c>
      <c r="F24" s="423">
        <f t="shared" ref="F24" si="9">SUM(F25:F33)</f>
        <v>5611904.4377555326</v>
      </c>
      <c r="G24" s="434">
        <f t="shared" si="8"/>
        <v>5415235.8637291379</v>
      </c>
      <c r="H24" s="423">
        <f t="shared" si="0"/>
        <v>4589182.3677756507</v>
      </c>
      <c r="I24" s="424">
        <f t="shared" si="1"/>
        <v>22945911.838878255</v>
      </c>
    </row>
    <row r="25" spans="1:10" x14ac:dyDescent="0.3">
      <c r="A25" s="25" t="s">
        <v>125</v>
      </c>
      <c r="B25" s="93"/>
      <c r="C25" s="438"/>
      <c r="D25" s="439">
        <v>736491.31290079956</v>
      </c>
      <c r="E25" s="439">
        <v>616258.63617476285</v>
      </c>
      <c r="F25" s="439">
        <v>459374.40244841378</v>
      </c>
      <c r="G25" s="440">
        <v>272033.6431652052</v>
      </c>
      <c r="H25" s="289">
        <f t="shared" si="0"/>
        <v>521039.49867229536</v>
      </c>
      <c r="I25" s="421">
        <f t="shared" si="1"/>
        <v>2084157.9946891814</v>
      </c>
    </row>
    <row r="26" spans="1:10" x14ac:dyDescent="0.3">
      <c r="A26" s="25" t="s">
        <v>124</v>
      </c>
      <c r="B26" s="93"/>
      <c r="C26" s="438"/>
      <c r="D26" s="439">
        <v>192319.22224999993</v>
      </c>
      <c r="E26" s="439">
        <v>195954.01058374991</v>
      </c>
      <c r="F26" s="439">
        <v>199643.32074250613</v>
      </c>
      <c r="G26" s="440">
        <v>203387.97055364368</v>
      </c>
      <c r="H26" s="289">
        <f t="shared" si="0"/>
        <v>197826.13103247489</v>
      </c>
      <c r="I26" s="421">
        <f t="shared" si="1"/>
        <v>791304.52412989957</v>
      </c>
    </row>
    <row r="27" spans="1:10" x14ac:dyDescent="0.3">
      <c r="A27" s="170" t="s">
        <v>45</v>
      </c>
      <c r="B27" s="246"/>
      <c r="C27" s="444">
        <f>+'5.Charges fixes'!C111</f>
        <v>250000</v>
      </c>
      <c r="D27" s="445">
        <v>1359237.5640115836</v>
      </c>
      <c r="E27" s="439">
        <v>1277856.2765699546</v>
      </c>
      <c r="F27" s="439">
        <v>1314379.0953607745</v>
      </c>
      <c r="G27" s="440">
        <v>1290103.3110532966</v>
      </c>
      <c r="H27" s="289">
        <f t="shared" si="0"/>
        <v>1098315.2493991219</v>
      </c>
      <c r="I27" s="421">
        <f t="shared" si="1"/>
        <v>5491576.2469956093</v>
      </c>
    </row>
    <row r="28" spans="1:10" x14ac:dyDescent="0.3">
      <c r="A28" s="170" t="s">
        <v>123</v>
      </c>
      <c r="B28" s="246"/>
      <c r="C28" s="444"/>
      <c r="D28" s="445">
        <f>'5.Charges fixes'!D40</f>
        <v>1849901.6458338285</v>
      </c>
      <c r="E28" s="439">
        <f>'5.Charges fixes'!E40</f>
        <v>1865290.8690689073</v>
      </c>
      <c r="F28" s="439">
        <f>'5.Charges fixes'!F40</f>
        <v>1872776.6192038383</v>
      </c>
      <c r="G28" s="440">
        <f>'5.Charges fixes'!G40</f>
        <v>1896979.9389569929</v>
      </c>
      <c r="H28" s="289">
        <f t="shared" si="0"/>
        <v>1871237.2682658918</v>
      </c>
      <c r="I28" s="421">
        <f t="shared" si="1"/>
        <v>7484949.0730635673</v>
      </c>
    </row>
    <row r="29" spans="1:10" x14ac:dyDescent="0.3">
      <c r="A29" s="170" t="s">
        <v>122</v>
      </c>
      <c r="B29" s="246"/>
      <c r="C29" s="444"/>
      <c r="D29" s="445">
        <v>584000</v>
      </c>
      <c r="E29" s="439">
        <v>576000</v>
      </c>
      <c r="F29" s="439">
        <v>584000</v>
      </c>
      <c r="G29" s="440">
        <v>573000</v>
      </c>
      <c r="H29" s="289">
        <f t="shared" si="0"/>
        <v>579250</v>
      </c>
      <c r="I29" s="421">
        <f t="shared" si="1"/>
        <v>2317000</v>
      </c>
    </row>
    <row r="30" spans="1:10" x14ac:dyDescent="0.3">
      <c r="A30" s="170" t="s">
        <v>121</v>
      </c>
      <c r="B30" s="246"/>
      <c r="C30" s="444"/>
      <c r="D30" s="445">
        <v>98600</v>
      </c>
      <c r="E30" s="439">
        <v>98600</v>
      </c>
      <c r="F30" s="439">
        <v>98600</v>
      </c>
      <c r="G30" s="440">
        <v>98600</v>
      </c>
      <c r="H30" s="289">
        <f t="shared" si="0"/>
        <v>98600</v>
      </c>
      <c r="I30" s="421">
        <f t="shared" si="1"/>
        <v>394400</v>
      </c>
    </row>
    <row r="31" spans="1:10" x14ac:dyDescent="0.3">
      <c r="A31" s="170" t="s">
        <v>120</v>
      </c>
      <c r="B31" s="246"/>
      <c r="C31" s="444"/>
      <c r="D31" s="445">
        <v>18399.999999999996</v>
      </c>
      <c r="E31" s="439">
        <v>18399.999999999996</v>
      </c>
      <c r="F31" s="439">
        <v>18399.999999999996</v>
      </c>
      <c r="G31" s="440">
        <v>18399.999999999996</v>
      </c>
      <c r="H31" s="289">
        <f t="shared" si="0"/>
        <v>18399.999999999996</v>
      </c>
      <c r="I31" s="421">
        <f t="shared" si="1"/>
        <v>73599.999999999985</v>
      </c>
    </row>
    <row r="32" spans="1:10" x14ac:dyDescent="0.3">
      <c r="A32" s="170" t="s">
        <v>119</v>
      </c>
      <c r="B32" s="246"/>
      <c r="C32" s="444"/>
      <c r="D32" s="445">
        <v>910731</v>
      </c>
      <c r="E32" s="439">
        <v>870731</v>
      </c>
      <c r="F32" s="439">
        <v>864731</v>
      </c>
      <c r="G32" s="440">
        <v>862731</v>
      </c>
      <c r="H32" s="289">
        <f t="shared" si="0"/>
        <v>877231</v>
      </c>
      <c r="I32" s="421">
        <f t="shared" si="1"/>
        <v>3508924</v>
      </c>
    </row>
    <row r="33" spans="1:14" x14ac:dyDescent="0.3">
      <c r="A33" s="170" t="s">
        <v>118</v>
      </c>
      <c r="B33" s="246"/>
      <c r="C33" s="444"/>
      <c r="D33" s="445">
        <v>200000</v>
      </c>
      <c r="E33" s="439">
        <v>200000</v>
      </c>
      <c r="F33" s="439">
        <v>200000</v>
      </c>
      <c r="G33" s="440">
        <v>200000</v>
      </c>
      <c r="H33" s="289">
        <f t="shared" si="0"/>
        <v>200000</v>
      </c>
      <c r="I33" s="421">
        <f t="shared" si="1"/>
        <v>800000</v>
      </c>
    </row>
    <row r="34" spans="1:14" s="89" customFormat="1" x14ac:dyDescent="0.35">
      <c r="A34" s="90" t="s">
        <v>152</v>
      </c>
      <c r="B34" s="92"/>
      <c r="C34" s="286">
        <f>C6-C7-C13-C24</f>
        <v>0</v>
      </c>
      <c r="D34" s="287">
        <f t="shared" ref="D34:G34" si="10">D6-D7-D13-D24</f>
        <v>33007715.482993901</v>
      </c>
      <c r="E34" s="287">
        <f t="shared" si="10"/>
        <v>33305872.9710344</v>
      </c>
      <c r="F34" s="287">
        <f t="shared" ref="F34" si="11">F6-F7-F13-F24</f>
        <v>33661062.333738185</v>
      </c>
      <c r="G34" s="288">
        <f t="shared" si="10"/>
        <v>33883258.902125895</v>
      </c>
      <c r="H34" s="291">
        <f t="shared" si="0"/>
        <v>26771581.937978476</v>
      </c>
      <c r="I34" s="422">
        <f t="shared" si="1"/>
        <v>133857909.68989238</v>
      </c>
    </row>
    <row r="35" spans="1:14" x14ac:dyDescent="0.3">
      <c r="A35" s="21" t="s">
        <v>153</v>
      </c>
      <c r="B35" s="432"/>
      <c r="C35" s="433">
        <f>SUM(C36:C38)</f>
        <v>0</v>
      </c>
      <c r="D35" s="423">
        <f t="shared" ref="D35:G35" si="12">SUM(D36:D38)</f>
        <v>940369.48304971855</v>
      </c>
      <c r="E35" s="423">
        <f t="shared" si="12"/>
        <v>947509.18507630029</v>
      </c>
      <c r="F35" s="423">
        <f t="shared" ref="F35" si="13">SUM(F36:F38)</f>
        <v>956424.08923693665</v>
      </c>
      <c r="G35" s="434">
        <f t="shared" si="12"/>
        <v>967198.74099222966</v>
      </c>
      <c r="H35" s="423">
        <f t="shared" si="0"/>
        <v>762300.29967103689</v>
      </c>
      <c r="I35" s="424">
        <f t="shared" si="1"/>
        <v>3811501.4983551847</v>
      </c>
    </row>
    <row r="36" spans="1:14" x14ac:dyDescent="0.3">
      <c r="A36" s="25" t="s">
        <v>117</v>
      </c>
      <c r="B36" s="93"/>
      <c r="C36" s="438"/>
      <c r="D36" s="439">
        <v>777986.82065573614</v>
      </c>
      <c r="E36" s="439">
        <v>784189.46571930253</v>
      </c>
      <c r="F36" s="439">
        <v>792620.98352948308</v>
      </c>
      <c r="G36" s="440">
        <v>801958.59541652724</v>
      </c>
      <c r="H36" s="289">
        <f t="shared" ref="H36:H55" si="14">IFERROR(AVERAGE(C36:G36),0)</f>
        <v>789188.96633026225</v>
      </c>
      <c r="I36" s="421">
        <f t="shared" ref="I36:I55" si="15">SUM(C36:G36)</f>
        <v>3156755.865321049</v>
      </c>
      <c r="N36" s="167"/>
    </row>
    <row r="37" spans="1:14" x14ac:dyDescent="0.3">
      <c r="A37" s="25" t="s">
        <v>116</v>
      </c>
      <c r="B37" s="93"/>
      <c r="C37" s="438"/>
      <c r="D37" s="439">
        <v>4926</v>
      </c>
      <c r="E37" s="439">
        <v>4926</v>
      </c>
      <c r="F37" s="439">
        <v>4926</v>
      </c>
      <c r="G37" s="440">
        <v>4926</v>
      </c>
      <c r="H37" s="289">
        <f t="shared" si="14"/>
        <v>4926</v>
      </c>
      <c r="I37" s="421">
        <f t="shared" si="15"/>
        <v>19704</v>
      </c>
    </row>
    <row r="38" spans="1:14" x14ac:dyDescent="0.3">
      <c r="A38" s="25" t="s">
        <v>85</v>
      </c>
      <c r="B38" s="93"/>
      <c r="C38" s="438"/>
      <c r="D38" s="439">
        <v>157456.66239398241</v>
      </c>
      <c r="E38" s="439">
        <v>158393.7193569977</v>
      </c>
      <c r="F38" s="439">
        <v>158877.10570745356</v>
      </c>
      <c r="G38" s="440">
        <v>160314.14557570242</v>
      </c>
      <c r="H38" s="289">
        <f t="shared" si="14"/>
        <v>158760.40825853404</v>
      </c>
      <c r="I38" s="421">
        <f t="shared" si="15"/>
        <v>635041.63303413615</v>
      </c>
    </row>
    <row r="39" spans="1:14" x14ac:dyDescent="0.3">
      <c r="A39" s="21" t="s">
        <v>142</v>
      </c>
      <c r="B39" s="432"/>
      <c r="C39" s="433">
        <f>SUM(C40:C41)</f>
        <v>0</v>
      </c>
      <c r="D39" s="423">
        <f t="shared" ref="D39:G39" si="16">SUM(D40:D41)</f>
        <v>29461312.050424553</v>
      </c>
      <c r="E39" s="423">
        <f t="shared" si="16"/>
        <v>29699778.058139913</v>
      </c>
      <c r="F39" s="423">
        <f t="shared" ref="F39" si="17">SUM(F40:F41)</f>
        <v>30017700.653509974</v>
      </c>
      <c r="G39" s="434">
        <f t="shared" si="16"/>
        <v>30356166.102946948</v>
      </c>
      <c r="H39" s="423">
        <f t="shared" si="14"/>
        <v>23906991.37300428</v>
      </c>
      <c r="I39" s="424">
        <f t="shared" si="15"/>
        <v>119534956.86502139</v>
      </c>
    </row>
    <row r="40" spans="1:14" x14ac:dyDescent="0.3">
      <c r="A40" s="25" t="s">
        <v>115</v>
      </c>
      <c r="B40" s="93"/>
      <c r="C40" s="438"/>
      <c r="D40" s="439">
        <v>21273289.562650554</v>
      </c>
      <c r="E40" s="439">
        <v>21445384.433297254</v>
      </c>
      <c r="F40" s="439">
        <v>21675699.60403889</v>
      </c>
      <c r="G40" s="440">
        <v>21914039.429213017</v>
      </c>
      <c r="H40" s="289">
        <f t="shared" si="14"/>
        <v>21577103.25729993</v>
      </c>
      <c r="I40" s="421">
        <f t="shared" si="15"/>
        <v>86308413.029199719</v>
      </c>
      <c r="N40" s="167"/>
    </row>
    <row r="41" spans="1:14" x14ac:dyDescent="0.3">
      <c r="A41" s="25" t="s">
        <v>114</v>
      </c>
      <c r="B41" s="93"/>
      <c r="C41" s="438"/>
      <c r="D41" s="439">
        <v>8188022.4877740005</v>
      </c>
      <c r="E41" s="439">
        <v>8254393.6248426596</v>
      </c>
      <c r="F41" s="439">
        <v>8342001.0494710859</v>
      </c>
      <c r="G41" s="440">
        <v>8442126.673733931</v>
      </c>
      <c r="H41" s="289">
        <f t="shared" si="14"/>
        <v>8306635.9589554192</v>
      </c>
      <c r="I41" s="421">
        <f t="shared" si="15"/>
        <v>33226543.835821677</v>
      </c>
      <c r="N41" s="167"/>
    </row>
    <row r="42" spans="1:14" s="89" customFormat="1" x14ac:dyDescent="0.3">
      <c r="A42" s="90" t="s">
        <v>444</v>
      </c>
      <c r="B42" s="92"/>
      <c r="C42" s="286">
        <f>C34-C35-C39</f>
        <v>0</v>
      </c>
      <c r="D42" s="287">
        <f t="shared" ref="D42:G42" si="18">D34-D35-D39</f>
        <v>2606033.9495196305</v>
      </c>
      <c r="E42" s="287">
        <f t="shared" si="18"/>
        <v>2658585.7278181873</v>
      </c>
      <c r="F42" s="287">
        <f t="shared" ref="F42" si="19">F34-F35-F39</f>
        <v>2686937.5909912735</v>
      </c>
      <c r="G42" s="288">
        <f t="shared" si="18"/>
        <v>2559894.0581867173</v>
      </c>
      <c r="H42" s="291">
        <f t="shared" si="14"/>
        <v>2102290.2653031619</v>
      </c>
      <c r="I42" s="422">
        <f t="shared" si="15"/>
        <v>10511451.326515809</v>
      </c>
      <c r="J42" s="2"/>
    </row>
    <row r="43" spans="1:14" x14ac:dyDescent="0.3">
      <c r="A43" s="21" t="s">
        <v>144</v>
      </c>
      <c r="B43" s="432"/>
      <c r="C43" s="435"/>
      <c r="D43" s="436"/>
      <c r="E43" s="436"/>
      <c r="F43" s="436"/>
      <c r="G43" s="437"/>
      <c r="H43" s="423">
        <f t="shared" si="14"/>
        <v>0</v>
      </c>
      <c r="I43" s="424">
        <f t="shared" si="15"/>
        <v>0</v>
      </c>
    </row>
    <row r="44" spans="1:14" x14ac:dyDescent="0.3">
      <c r="A44" s="21" t="s">
        <v>143</v>
      </c>
      <c r="B44" s="432"/>
      <c r="C44" s="435"/>
      <c r="D44" s="436"/>
      <c r="E44" s="436"/>
      <c r="F44" s="436"/>
      <c r="G44" s="437"/>
      <c r="H44" s="423">
        <f t="shared" si="14"/>
        <v>0</v>
      </c>
      <c r="I44" s="424">
        <f t="shared" si="15"/>
        <v>0</v>
      </c>
    </row>
    <row r="45" spans="1:14" x14ac:dyDescent="0.3">
      <c r="A45" s="21" t="s">
        <v>146</v>
      </c>
      <c r="B45" s="432"/>
      <c r="C45" s="433">
        <f>SUM(C46:C50)</f>
        <v>0</v>
      </c>
      <c r="D45" s="423">
        <f t="shared" ref="D45:G45" si="20">SUM(D46:D50)</f>
        <v>294613.44444444444</v>
      </c>
      <c r="E45" s="423">
        <f t="shared" si="20"/>
        <v>332913.44444444444</v>
      </c>
      <c r="F45" s="423">
        <f t="shared" ref="F45" si="21">SUM(F46:F50)</f>
        <v>353913.44444444444</v>
      </c>
      <c r="G45" s="434">
        <f t="shared" si="20"/>
        <v>205013.84444444446</v>
      </c>
      <c r="H45" s="423">
        <f t="shared" si="14"/>
        <v>237290.83555555553</v>
      </c>
      <c r="I45" s="424">
        <f t="shared" si="15"/>
        <v>1186454.1777777777</v>
      </c>
    </row>
    <row r="46" spans="1:14" x14ac:dyDescent="0.3">
      <c r="A46" s="25" t="s">
        <v>113</v>
      </c>
      <c r="B46" s="93"/>
      <c r="C46" s="438"/>
      <c r="D46" s="439">
        <f>'5b'!D61</f>
        <v>294613.44444444444</v>
      </c>
      <c r="E46" s="439">
        <f>'5b'!E61</f>
        <v>332913.44444444444</v>
      </c>
      <c r="F46" s="439">
        <f>'5b'!F61</f>
        <v>353913.44444444444</v>
      </c>
      <c r="G46" s="440">
        <f>'5b'!G61</f>
        <v>205013.84444444446</v>
      </c>
      <c r="H46" s="289">
        <f t="shared" si="14"/>
        <v>296613.54444444441</v>
      </c>
      <c r="I46" s="421">
        <f t="shared" si="15"/>
        <v>1186454.1777777777</v>
      </c>
    </row>
    <row r="47" spans="1:14" x14ac:dyDescent="0.3">
      <c r="A47" s="25" t="s">
        <v>154</v>
      </c>
      <c r="B47" s="93"/>
      <c r="C47" s="438"/>
      <c r="D47" s="439">
        <v>0</v>
      </c>
      <c r="E47" s="439">
        <v>0</v>
      </c>
      <c r="F47" s="439">
        <v>0</v>
      </c>
      <c r="G47" s="440">
        <v>0</v>
      </c>
      <c r="H47" s="289">
        <f t="shared" si="14"/>
        <v>0</v>
      </c>
      <c r="I47" s="421">
        <f t="shared" si="15"/>
        <v>0</v>
      </c>
    </row>
    <row r="48" spans="1:14" x14ac:dyDescent="0.3">
      <c r="A48" s="25" t="s">
        <v>155</v>
      </c>
      <c r="B48" s="93"/>
      <c r="C48" s="438"/>
      <c r="D48" s="439">
        <v>0</v>
      </c>
      <c r="E48" s="439">
        <v>0</v>
      </c>
      <c r="F48" s="439">
        <v>0</v>
      </c>
      <c r="G48" s="440">
        <v>0</v>
      </c>
      <c r="H48" s="289">
        <f t="shared" si="14"/>
        <v>0</v>
      </c>
      <c r="I48" s="421">
        <f t="shared" si="15"/>
        <v>0</v>
      </c>
    </row>
    <row r="49" spans="1:10" x14ac:dyDescent="0.3">
      <c r="A49" s="25" t="s">
        <v>156</v>
      </c>
      <c r="B49" s="93"/>
      <c r="C49" s="438"/>
      <c r="D49" s="439">
        <v>0</v>
      </c>
      <c r="E49" s="439">
        <v>0</v>
      </c>
      <c r="F49" s="439">
        <v>0</v>
      </c>
      <c r="G49" s="440">
        <v>0</v>
      </c>
      <c r="H49" s="289">
        <f t="shared" si="14"/>
        <v>0</v>
      </c>
      <c r="I49" s="421">
        <f t="shared" si="15"/>
        <v>0</v>
      </c>
    </row>
    <row r="50" spans="1:10" x14ac:dyDescent="0.3">
      <c r="A50" s="25" t="s">
        <v>145</v>
      </c>
      <c r="B50" s="94"/>
      <c r="C50" s="441"/>
      <c r="D50" s="442">
        <v>0</v>
      </c>
      <c r="E50" s="442">
        <v>0</v>
      </c>
      <c r="F50" s="442">
        <v>0</v>
      </c>
      <c r="G50" s="443">
        <v>0</v>
      </c>
      <c r="H50" s="289">
        <f t="shared" si="14"/>
        <v>0</v>
      </c>
      <c r="I50" s="421">
        <f t="shared" si="15"/>
        <v>0</v>
      </c>
    </row>
    <row r="51" spans="1:10" s="89" customFormat="1" x14ac:dyDescent="0.35">
      <c r="A51" s="90" t="s">
        <v>112</v>
      </c>
      <c r="B51" s="92"/>
      <c r="C51" s="286">
        <f>C42-C43+C44-C45</f>
        <v>0</v>
      </c>
      <c r="D51" s="287">
        <f t="shared" ref="D51:G51" si="22">D42-D43+D44-D45</f>
        <v>2311420.505075186</v>
      </c>
      <c r="E51" s="287">
        <f t="shared" si="22"/>
        <v>2325672.2833737428</v>
      </c>
      <c r="F51" s="287">
        <f t="shared" ref="F51" si="23">F42-F43+F44-F45</f>
        <v>2333024.146546829</v>
      </c>
      <c r="G51" s="288">
        <f t="shared" si="22"/>
        <v>2354880.2137422729</v>
      </c>
      <c r="H51" s="291">
        <f t="shared" si="14"/>
        <v>1864999.4297476062</v>
      </c>
      <c r="I51" s="422">
        <f t="shared" si="15"/>
        <v>9324997.1487380303</v>
      </c>
    </row>
    <row r="52" spans="1:10" x14ac:dyDescent="0.3">
      <c r="A52" s="21" t="s">
        <v>147</v>
      </c>
      <c r="B52" s="432"/>
      <c r="C52" s="435"/>
      <c r="D52" s="436">
        <v>11315.050043751526</v>
      </c>
      <c r="E52" s="436">
        <v>11268.221409004816</v>
      </c>
      <c r="F52" s="436">
        <v>11408.707313244944</v>
      </c>
      <c r="G52" s="437">
        <v>11361.878678498235</v>
      </c>
      <c r="H52" s="423">
        <f t="shared" si="14"/>
        <v>11338.464361124881</v>
      </c>
      <c r="I52" s="424">
        <f t="shared" si="15"/>
        <v>45353.857444499525</v>
      </c>
    </row>
    <row r="53" spans="1:10" x14ac:dyDescent="0.3">
      <c r="A53" s="21" t="s">
        <v>148</v>
      </c>
      <c r="B53" s="432"/>
      <c r="C53" s="435"/>
      <c r="D53" s="436">
        <v>80000</v>
      </c>
      <c r="E53" s="436">
        <v>80000</v>
      </c>
      <c r="F53" s="436">
        <v>80000</v>
      </c>
      <c r="G53" s="437">
        <v>80000</v>
      </c>
      <c r="H53" s="423">
        <f t="shared" si="14"/>
        <v>80000</v>
      </c>
      <c r="I53" s="424">
        <f t="shared" si="15"/>
        <v>320000</v>
      </c>
    </row>
    <row r="54" spans="1:10" s="89" customFormat="1" x14ac:dyDescent="0.35">
      <c r="A54" s="90" t="s">
        <v>111</v>
      </c>
      <c r="B54" s="92"/>
      <c r="C54" s="286">
        <f>C53-C52</f>
        <v>0</v>
      </c>
      <c r="D54" s="287">
        <f t="shared" ref="D54:G54" si="24">D53-D52</f>
        <v>68684.949956248471</v>
      </c>
      <c r="E54" s="287">
        <f t="shared" si="24"/>
        <v>68731.778590995178</v>
      </c>
      <c r="F54" s="287">
        <f t="shared" ref="F54" si="25">F53-F52</f>
        <v>68591.292686755056</v>
      </c>
      <c r="G54" s="288">
        <f t="shared" si="24"/>
        <v>68638.121321501763</v>
      </c>
      <c r="H54" s="292">
        <f t="shared" si="14"/>
        <v>54929.228511100097</v>
      </c>
      <c r="I54" s="422">
        <f t="shared" si="15"/>
        <v>274646.1425555005</v>
      </c>
    </row>
    <row r="55" spans="1:10" s="89" customFormat="1" x14ac:dyDescent="0.35">
      <c r="A55" s="90" t="s">
        <v>157</v>
      </c>
      <c r="B55" s="92"/>
      <c r="C55" s="286">
        <f>C51+C54</f>
        <v>0</v>
      </c>
      <c r="D55" s="287">
        <f>D51+D54</f>
        <v>2380105.4550314345</v>
      </c>
      <c r="E55" s="287">
        <f t="shared" ref="E55:G55" si="26">E51+E54</f>
        <v>2394404.0619647382</v>
      </c>
      <c r="F55" s="287">
        <f t="shared" ref="F55" si="27">F51+F54</f>
        <v>2401615.4392335839</v>
      </c>
      <c r="G55" s="288">
        <f t="shared" si="26"/>
        <v>2423518.3350637746</v>
      </c>
      <c r="H55" s="292">
        <f t="shared" si="14"/>
        <v>1919928.6582587063</v>
      </c>
      <c r="I55" s="422">
        <f t="shared" si="15"/>
        <v>9599643.2912935317</v>
      </c>
    </row>
    <row r="56" spans="1:10" x14ac:dyDescent="0.3">
      <c r="C56" s="11"/>
      <c r="D56" s="11"/>
      <c r="E56" s="11"/>
      <c r="F56" s="11"/>
      <c r="G56" s="11"/>
    </row>
    <row r="57" spans="1:10" x14ac:dyDescent="0.3">
      <c r="I57" s="11"/>
    </row>
    <row r="58" spans="1:10" x14ac:dyDescent="0.3">
      <c r="I58" s="11"/>
    </row>
    <row r="59" spans="1:10" x14ac:dyDescent="0.3">
      <c r="I59" s="11"/>
    </row>
    <row r="60" spans="1:10" x14ac:dyDescent="0.3">
      <c r="I60" s="11"/>
    </row>
    <row r="63" spans="1:10" x14ac:dyDescent="0.3">
      <c r="I63" s="11"/>
    </row>
    <row r="64" spans="1:10" x14ac:dyDescent="0.3">
      <c r="I64" s="11"/>
      <c r="J64" s="614"/>
    </row>
    <row r="65" spans="9:10" x14ac:dyDescent="0.3">
      <c r="I65" s="11"/>
      <c r="J65" s="614"/>
    </row>
    <row r="66" spans="9:10" x14ac:dyDescent="0.3">
      <c r="I66" s="11"/>
      <c r="J66" s="614"/>
    </row>
    <row r="67" spans="9:10" x14ac:dyDescent="0.3">
      <c r="I67" s="11"/>
      <c r="J67" s="614"/>
    </row>
    <row r="68" spans="9:10" x14ac:dyDescent="0.3">
      <c r="J68" s="6"/>
    </row>
  </sheetData>
  <sheetProtection selectLockedCells="1" selectUnlockedCells="1"/>
  <mergeCells count="3">
    <mergeCell ref="A3:A4"/>
    <mergeCell ref="B3:B4"/>
    <mergeCell ref="A1:I1"/>
  </mergeCells>
  <printOptions horizontalCentered="1"/>
  <pageMargins left="0.70866141732283472" right="0.70866141732283472" top="0.74803149606299213" bottom="0.74803149606299213" header="0.31496062992125984" footer="0.31496062992125984"/>
  <pageSetup paperSize="9" scale="64" firstPageNumber="0" orientation="landscape" r:id="rId1"/>
  <headerFooter>
    <oddHeader>&amp;L&amp;F&amp;R&amp;A</oddHeader>
    <oddFooter>&amp;L&amp;D&amp;C&amp;P/&amp;N&amp;R&amp;T</oddFooter>
  </headerFooter>
  <rowBreaks count="2" manualBreakCount="2">
    <brk id="12" max="9" man="1"/>
    <brk id="41"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96F79-B395-4918-A983-B00BD1A68209}">
  <sheetPr>
    <tabColor theme="4" tint="0.59999389629810485"/>
    <pageSetUpPr fitToPage="1"/>
  </sheetPr>
  <dimension ref="A1:M33"/>
  <sheetViews>
    <sheetView showGridLines="0" tabSelected="1" zoomScale="85" zoomScaleNormal="85" workbookViewId="0">
      <selection activeCell="B33" sqref="B33"/>
    </sheetView>
  </sheetViews>
  <sheetFormatPr baseColWidth="10" defaultColWidth="11.26953125" defaultRowHeight="13" x14ac:dyDescent="0.3"/>
  <cols>
    <col min="1" max="1" width="34.7265625" style="2" customWidth="1"/>
    <col min="2" max="2" width="11" style="17" customWidth="1"/>
    <col min="3" max="8" width="11" style="28" customWidth="1"/>
    <col min="9" max="9" width="6.7265625" style="28" customWidth="1"/>
    <col min="10" max="11" width="11" style="28" customWidth="1"/>
    <col min="12" max="12" width="11.26953125" style="2"/>
    <col min="13" max="13" width="20.26953125" style="2" bestFit="1" customWidth="1"/>
    <col min="14" max="16384" width="11.26953125" style="2"/>
  </cols>
  <sheetData>
    <row r="1" spans="1:13" ht="25.4" customHeight="1" x14ac:dyDescent="0.3">
      <c r="A1" s="658" t="s">
        <v>532</v>
      </c>
      <c r="B1" s="664"/>
      <c r="C1" s="664"/>
      <c r="D1" s="664"/>
      <c r="E1" s="664"/>
      <c r="F1" s="664"/>
      <c r="G1" s="664"/>
      <c r="H1" s="664"/>
      <c r="I1" s="664"/>
      <c r="J1" s="664"/>
      <c r="K1" s="664"/>
      <c r="L1" s="1"/>
    </row>
    <row r="3" spans="1:13" customFormat="1" ht="14.5" x14ac:dyDescent="0.35"/>
    <row r="4" spans="1:13" ht="13.15" customHeight="1" x14ac:dyDescent="0.35">
      <c r="A4" s="695" t="s">
        <v>197</v>
      </c>
      <c r="B4" s="655" t="s">
        <v>0</v>
      </c>
      <c r="C4" s="516" t="s">
        <v>414</v>
      </c>
      <c r="D4" s="516" t="s">
        <v>471</v>
      </c>
      <c r="E4" s="516" t="s">
        <v>472</v>
      </c>
      <c r="F4" s="516" t="s">
        <v>476</v>
      </c>
      <c r="G4" s="516" t="s">
        <v>530</v>
      </c>
      <c r="H4" s="516" t="s">
        <v>531</v>
      </c>
      <c r="I4"/>
      <c r="J4" s="633" t="s">
        <v>280</v>
      </c>
      <c r="K4" s="633" t="s">
        <v>281</v>
      </c>
      <c r="M4" s="661" t="s">
        <v>290</v>
      </c>
    </row>
    <row r="5" spans="1:13" ht="22.9" customHeight="1" x14ac:dyDescent="0.35">
      <c r="A5" s="696"/>
      <c r="B5" s="656"/>
      <c r="C5" s="77">
        <v>12</v>
      </c>
      <c r="D5" s="77">
        <v>12</v>
      </c>
      <c r="E5" s="77">
        <v>12</v>
      </c>
      <c r="F5" s="77">
        <v>12</v>
      </c>
      <c r="G5" s="77">
        <v>12</v>
      </c>
      <c r="H5" s="183">
        <v>12</v>
      </c>
      <c r="I5"/>
      <c r="J5" s="78">
        <v>12</v>
      </c>
      <c r="K5" s="78">
        <v>12</v>
      </c>
      <c r="M5" s="662"/>
    </row>
    <row r="6" spans="1:13" s="5" customFormat="1" ht="14.5" x14ac:dyDescent="0.35">
      <c r="A6" s="634" t="s">
        <v>62</v>
      </c>
      <c r="B6" s="8"/>
      <c r="C6" s="517"/>
      <c r="D6" s="517"/>
      <c r="E6" s="517"/>
      <c r="F6" s="517"/>
      <c r="G6" s="517"/>
      <c r="H6" s="324"/>
      <c r="I6"/>
      <c r="J6" s="10">
        <f t="shared" ref="J6:J8" si="0">IFERROR(AVERAGE(C6:H6),0)</f>
        <v>0</v>
      </c>
      <c r="K6" s="10">
        <f t="shared" ref="K6:K8" si="1">SUM(C6:H6)</f>
        <v>0</v>
      </c>
      <c r="M6" s="188"/>
    </row>
    <row r="7" spans="1:13" ht="14.5" x14ac:dyDescent="0.35">
      <c r="A7" s="635" t="s">
        <v>63</v>
      </c>
      <c r="B7" s="15"/>
      <c r="C7" s="106"/>
      <c r="D7" s="106"/>
      <c r="E7" s="106"/>
      <c r="F7" s="106"/>
      <c r="G7" s="106"/>
      <c r="H7" s="185"/>
      <c r="I7"/>
      <c r="J7" s="636">
        <f t="shared" si="0"/>
        <v>0</v>
      </c>
      <c r="K7" s="16">
        <f t="shared" si="1"/>
        <v>0</v>
      </c>
      <c r="M7" s="189"/>
    </row>
    <row r="8" spans="1:13" ht="14.5" x14ac:dyDescent="0.35">
      <c r="A8" s="18" t="s">
        <v>203</v>
      </c>
      <c r="B8" s="68"/>
      <c r="C8" s="19">
        <f>C6+C7</f>
        <v>0</v>
      </c>
      <c r="D8" s="19">
        <f t="shared" ref="D8:H8" si="2">D6+D7</f>
        <v>0</v>
      </c>
      <c r="E8" s="19">
        <f t="shared" si="2"/>
        <v>0</v>
      </c>
      <c r="F8" s="19">
        <f t="shared" si="2"/>
        <v>0</v>
      </c>
      <c r="G8" s="19">
        <f t="shared" si="2"/>
        <v>0</v>
      </c>
      <c r="H8" s="35">
        <f t="shared" si="2"/>
        <v>0</v>
      </c>
      <c r="I8"/>
      <c r="J8" s="60">
        <f t="shared" si="0"/>
        <v>0</v>
      </c>
      <c r="K8" s="20">
        <f t="shared" si="1"/>
        <v>0</v>
      </c>
      <c r="M8" s="190"/>
    </row>
    <row r="9" spans="1:13" ht="14.5" x14ac:dyDescent="0.35">
      <c r="C9" s="13"/>
      <c r="D9" s="13"/>
      <c r="E9" s="13"/>
      <c r="F9" s="13"/>
      <c r="G9" s="13"/>
      <c r="H9" s="13"/>
      <c r="I9"/>
      <c r="J9" s="13"/>
      <c r="K9" s="13"/>
    </row>
    <row r="10" spans="1:13" ht="14.5" x14ac:dyDescent="0.35">
      <c r="C10" s="13"/>
      <c r="D10" s="13"/>
      <c r="E10" s="13"/>
      <c r="F10" s="13"/>
      <c r="G10" s="13"/>
      <c r="H10" s="13"/>
      <c r="I10"/>
      <c r="J10" s="13"/>
      <c r="K10" s="13"/>
      <c r="M10"/>
    </row>
    <row r="11" spans="1:13" ht="26" x14ac:dyDescent="0.35">
      <c r="A11" s="695" t="s">
        <v>194</v>
      </c>
      <c r="B11" s="655" t="s">
        <v>0</v>
      </c>
      <c r="C11" s="516" t="s">
        <v>414</v>
      </c>
      <c r="D11" s="516" t="s">
        <v>471</v>
      </c>
      <c r="E11" s="516" t="s">
        <v>472</v>
      </c>
      <c r="F11" s="516" t="s">
        <v>476</v>
      </c>
      <c r="G11" s="516" t="s">
        <v>530</v>
      </c>
      <c r="H11" s="516" t="s">
        <v>531</v>
      </c>
      <c r="I11"/>
      <c r="J11" s="633" t="s">
        <v>256</v>
      </c>
      <c r="K11" s="633" t="s">
        <v>59</v>
      </c>
      <c r="M11" s="663" t="s">
        <v>290</v>
      </c>
    </row>
    <row r="12" spans="1:13" ht="14.5" x14ac:dyDescent="0.35">
      <c r="A12" s="696"/>
      <c r="B12" s="656"/>
      <c r="C12" s="77">
        <v>12</v>
      </c>
      <c r="D12" s="77">
        <v>12</v>
      </c>
      <c r="E12" s="77">
        <v>12</v>
      </c>
      <c r="F12" s="77">
        <v>12</v>
      </c>
      <c r="G12" s="77">
        <v>12</v>
      </c>
      <c r="H12" s="183">
        <v>12</v>
      </c>
      <c r="I12"/>
      <c r="J12" s="78">
        <v>12</v>
      </c>
      <c r="K12" s="78">
        <v>72</v>
      </c>
      <c r="M12" s="663"/>
    </row>
    <row r="13" spans="1:13" s="5" customFormat="1" ht="14.5" x14ac:dyDescent="0.35">
      <c r="A13" s="21" t="s">
        <v>193</v>
      </c>
      <c r="B13" s="153"/>
      <c r="C13" s="110">
        <f>SUM(C14:C16)</f>
        <v>0</v>
      </c>
      <c r="D13" s="110">
        <f t="shared" ref="D13:H13" si="3">SUM(D14:D16)</f>
        <v>0</v>
      </c>
      <c r="E13" s="110">
        <f t="shared" si="3"/>
        <v>0</v>
      </c>
      <c r="F13" s="110">
        <f t="shared" si="3"/>
        <v>0</v>
      </c>
      <c r="G13" s="110">
        <f t="shared" si="3"/>
        <v>0</v>
      </c>
      <c r="H13" s="186">
        <f t="shared" si="3"/>
        <v>0</v>
      </c>
      <c r="I13"/>
      <c r="J13" s="24">
        <f>IFERROR(AVERAGE(C13:H13),0)</f>
        <v>0</v>
      </c>
      <c r="K13" s="24">
        <f>SUM(C13:H13)</f>
        <v>0</v>
      </c>
      <c r="M13" s="189"/>
    </row>
    <row r="14" spans="1:13" ht="14.5" x14ac:dyDescent="0.35">
      <c r="A14" s="25" t="s">
        <v>1</v>
      </c>
      <c r="B14" s="12"/>
      <c r="C14" s="13"/>
      <c r="D14" s="13"/>
      <c r="E14" s="13"/>
      <c r="F14" s="13"/>
      <c r="G14" s="13"/>
      <c r="H14" s="159"/>
      <c r="I14"/>
      <c r="J14" s="14">
        <f t="shared" ref="J14:J27" si="4">IFERROR(AVERAGE(C14:H14),0)</f>
        <v>0</v>
      </c>
      <c r="K14" s="14">
        <f t="shared" ref="K14:K27" si="5">SUM(C14:H14)</f>
        <v>0</v>
      </c>
      <c r="M14" s="188"/>
    </row>
    <row r="15" spans="1:13" ht="14.5" x14ac:dyDescent="0.35">
      <c r="A15" s="25" t="s">
        <v>163</v>
      </c>
      <c r="B15" s="12"/>
      <c r="C15" s="13"/>
      <c r="D15" s="13"/>
      <c r="E15" s="13"/>
      <c r="F15" s="13"/>
      <c r="G15" s="13"/>
      <c r="H15" s="159"/>
      <c r="I15"/>
      <c r="J15" s="14">
        <f t="shared" si="4"/>
        <v>0</v>
      </c>
      <c r="K15" s="14">
        <f t="shared" si="5"/>
        <v>0</v>
      </c>
      <c r="M15" s="189"/>
    </row>
    <row r="16" spans="1:13" ht="14.5" x14ac:dyDescent="0.35">
      <c r="A16" s="25" t="s">
        <v>2</v>
      </c>
      <c r="B16" s="12"/>
      <c r="C16" s="13"/>
      <c r="D16" s="13"/>
      <c r="E16" s="13"/>
      <c r="F16" s="13"/>
      <c r="G16" s="13"/>
      <c r="H16" s="159"/>
      <c r="I16"/>
      <c r="J16" s="14">
        <f t="shared" si="4"/>
        <v>0</v>
      </c>
      <c r="K16" s="14">
        <f t="shared" si="5"/>
        <v>0</v>
      </c>
      <c r="M16" s="189"/>
    </row>
    <row r="17" spans="1:13" s="5" customFormat="1" ht="14.5" x14ac:dyDescent="0.35">
      <c r="A17" s="21" t="s">
        <v>195</v>
      </c>
      <c r="B17" s="153"/>
      <c r="C17" s="23">
        <f>SUM(C18:C25)</f>
        <v>2176.895</v>
      </c>
      <c r="D17" s="23">
        <f t="shared" ref="D17:G17" si="6">SUM(D18:D25)</f>
        <v>5309.5</v>
      </c>
      <c r="E17" s="23">
        <f t="shared" si="6"/>
        <v>0</v>
      </c>
      <c r="F17" s="23">
        <f t="shared" si="6"/>
        <v>0</v>
      </c>
      <c r="G17" s="23">
        <f t="shared" si="6"/>
        <v>0</v>
      </c>
      <c r="H17" s="179">
        <f>SUM(H18:H25)</f>
        <v>0</v>
      </c>
      <c r="I17"/>
      <c r="J17" s="24">
        <f t="shared" si="4"/>
        <v>1247.7325000000001</v>
      </c>
      <c r="K17" s="24">
        <f t="shared" si="5"/>
        <v>7486.3950000000004</v>
      </c>
      <c r="M17" s="190"/>
    </row>
    <row r="18" spans="1:13" ht="14.5" x14ac:dyDescent="0.35">
      <c r="A18" s="25" t="s">
        <v>3</v>
      </c>
      <c r="B18" s="12"/>
      <c r="C18" s="253"/>
      <c r="D18" s="13"/>
      <c r="E18" s="13"/>
      <c r="F18" s="13"/>
      <c r="G18" s="13"/>
      <c r="H18" s="159"/>
      <c r="I18"/>
      <c r="J18" s="14">
        <f t="shared" si="4"/>
        <v>0</v>
      </c>
      <c r="K18" s="14">
        <f t="shared" si="5"/>
        <v>0</v>
      </c>
      <c r="M18" s="189" t="s">
        <v>303</v>
      </c>
    </row>
    <row r="19" spans="1:13" ht="14.5" x14ac:dyDescent="0.35">
      <c r="A19" s="25" t="s">
        <v>162</v>
      </c>
      <c r="B19" s="12"/>
      <c r="C19" s="253"/>
      <c r="D19" s="13"/>
      <c r="E19" s="13"/>
      <c r="F19" s="13"/>
      <c r="G19" s="13"/>
      <c r="H19" s="159"/>
      <c r="I19"/>
      <c r="J19" s="14">
        <f t="shared" si="4"/>
        <v>0</v>
      </c>
      <c r="K19" s="14">
        <f t="shared" si="5"/>
        <v>0</v>
      </c>
      <c r="M19" s="189"/>
    </row>
    <row r="20" spans="1:13" ht="14.5" x14ac:dyDescent="0.35">
      <c r="A20" s="25" t="s">
        <v>4</v>
      </c>
      <c r="B20" s="12"/>
      <c r="C20" s="253">
        <v>51.25</v>
      </c>
      <c r="D20" s="253">
        <v>125</v>
      </c>
      <c r="E20" s="253">
        <v>0</v>
      </c>
      <c r="F20" s="253">
        <v>0</v>
      </c>
      <c r="G20" s="253">
        <v>0</v>
      </c>
      <c r="H20" s="159">
        <v>0</v>
      </c>
      <c r="I20"/>
      <c r="J20" s="14">
        <f t="shared" si="4"/>
        <v>29.375</v>
      </c>
      <c r="K20" s="14">
        <f t="shared" si="5"/>
        <v>176.25</v>
      </c>
      <c r="M20" s="189" t="s">
        <v>304</v>
      </c>
    </row>
    <row r="21" spans="1:13" ht="14.5" x14ac:dyDescent="0.35">
      <c r="A21" s="25" t="s">
        <v>5</v>
      </c>
      <c r="B21" s="12"/>
      <c r="C21" s="253">
        <v>31.518749999999997</v>
      </c>
      <c r="D21" s="13">
        <v>76.875</v>
      </c>
      <c r="E21" s="13">
        <v>0</v>
      </c>
      <c r="F21" s="13">
        <v>0</v>
      </c>
      <c r="G21" s="13">
        <v>0</v>
      </c>
      <c r="H21" s="159">
        <v>0</v>
      </c>
      <c r="I21"/>
      <c r="J21" s="14">
        <f t="shared" si="4"/>
        <v>18.065625000000001</v>
      </c>
      <c r="K21" s="14">
        <f t="shared" si="5"/>
        <v>108.39375</v>
      </c>
      <c r="M21" s="189"/>
    </row>
    <row r="22" spans="1:13" ht="14.5" x14ac:dyDescent="0.35">
      <c r="A22" s="25" t="s">
        <v>172</v>
      </c>
      <c r="B22" s="12"/>
      <c r="C22" s="253"/>
      <c r="D22" s="13"/>
      <c r="E22" s="13"/>
      <c r="F22" s="13"/>
      <c r="G22" s="13"/>
      <c r="H22" s="159"/>
      <c r="I22"/>
      <c r="J22" s="14">
        <f t="shared" si="4"/>
        <v>0</v>
      </c>
      <c r="K22" s="14">
        <f t="shared" si="5"/>
        <v>0</v>
      </c>
      <c r="M22" s="189"/>
    </row>
    <row r="23" spans="1:13" ht="14.5" x14ac:dyDescent="0.35">
      <c r="A23" s="25" t="s">
        <v>178</v>
      </c>
      <c r="B23" s="12"/>
      <c r="C23" s="253"/>
      <c r="D23" s="13"/>
      <c r="E23" s="13"/>
      <c r="F23" s="13"/>
      <c r="G23" s="13"/>
      <c r="H23" s="159"/>
      <c r="I23"/>
      <c r="J23" s="14">
        <f t="shared" si="4"/>
        <v>0</v>
      </c>
      <c r="K23" s="14">
        <f t="shared" si="5"/>
        <v>0</v>
      </c>
      <c r="M23" s="189"/>
    </row>
    <row r="24" spans="1:13" s="5" customFormat="1" ht="14.5" x14ac:dyDescent="0.35">
      <c r="A24" s="25" t="s">
        <v>6</v>
      </c>
      <c r="B24" s="12"/>
      <c r="C24" s="253">
        <v>2050</v>
      </c>
      <c r="D24" s="13">
        <v>5000</v>
      </c>
      <c r="E24" s="13">
        <v>0</v>
      </c>
      <c r="F24" s="13">
        <v>0</v>
      </c>
      <c r="G24" s="13">
        <v>0</v>
      </c>
      <c r="H24" s="159">
        <v>0</v>
      </c>
      <c r="I24"/>
      <c r="J24" s="14">
        <f t="shared" si="4"/>
        <v>1175</v>
      </c>
      <c r="K24" s="14">
        <f t="shared" si="5"/>
        <v>7050</v>
      </c>
      <c r="M24" s="189" t="s">
        <v>301</v>
      </c>
    </row>
    <row r="25" spans="1:13" ht="14.5" x14ac:dyDescent="0.35">
      <c r="A25" s="25" t="s">
        <v>192</v>
      </c>
      <c r="B25" s="12"/>
      <c r="C25" s="253">
        <v>44.126250000000006</v>
      </c>
      <c r="D25" s="13">
        <v>107.625</v>
      </c>
      <c r="E25" s="13">
        <v>0</v>
      </c>
      <c r="F25" s="13">
        <v>0</v>
      </c>
      <c r="G25" s="13">
        <v>0</v>
      </c>
      <c r="H25" s="159">
        <v>0</v>
      </c>
      <c r="I25"/>
      <c r="J25" s="14">
        <f t="shared" si="4"/>
        <v>25.291875000000001</v>
      </c>
      <c r="K25" s="14">
        <f t="shared" si="5"/>
        <v>151.75125</v>
      </c>
      <c r="M25" s="189"/>
    </row>
    <row r="26" spans="1:13" ht="14.5" x14ac:dyDescent="0.35">
      <c r="A26" s="21" t="s">
        <v>196</v>
      </c>
      <c r="B26" s="151"/>
      <c r="C26" s="23"/>
      <c r="D26" s="23"/>
      <c r="E26" s="23"/>
      <c r="F26" s="23"/>
      <c r="G26" s="23"/>
      <c r="H26" s="179"/>
      <c r="I26"/>
      <c r="J26" s="24">
        <f t="shared" si="4"/>
        <v>0</v>
      </c>
      <c r="K26" s="24">
        <f t="shared" si="5"/>
        <v>0</v>
      </c>
      <c r="M26" s="190"/>
    </row>
    <row r="27" spans="1:13" ht="14.5" x14ac:dyDescent="0.35">
      <c r="A27" s="18" t="s">
        <v>204</v>
      </c>
      <c r="B27" s="57"/>
      <c r="C27" s="19">
        <f>C13+C17+C26</f>
        <v>2176.895</v>
      </c>
      <c r="D27" s="19">
        <f t="shared" ref="D27:H27" si="7">D13+D17+D26</f>
        <v>5309.5</v>
      </c>
      <c r="E27" s="19">
        <f t="shared" si="7"/>
        <v>0</v>
      </c>
      <c r="F27" s="19">
        <f t="shared" si="7"/>
        <v>0</v>
      </c>
      <c r="G27" s="19">
        <f t="shared" si="7"/>
        <v>0</v>
      </c>
      <c r="H27" s="35">
        <f t="shared" si="7"/>
        <v>0</v>
      </c>
      <c r="I27"/>
      <c r="J27" s="20">
        <f t="shared" si="4"/>
        <v>1247.7325000000001</v>
      </c>
      <c r="K27" s="20">
        <f t="shared" si="5"/>
        <v>7486.3950000000004</v>
      </c>
      <c r="M27" s="190"/>
    </row>
    <row r="28" spans="1:13" ht="14.5" x14ac:dyDescent="0.35">
      <c r="B28" s="30"/>
      <c r="C28" s="2"/>
      <c r="D28" s="2"/>
      <c r="E28" s="2"/>
      <c r="F28" s="2"/>
      <c r="G28" s="2"/>
      <c r="H28" s="2"/>
      <c r="I28"/>
      <c r="J28" s="2"/>
      <c r="K28" s="2"/>
      <c r="M28" s="11"/>
    </row>
    <row r="29" spans="1:13" ht="14.5" x14ac:dyDescent="0.35">
      <c r="A29" s="111" t="s">
        <v>198</v>
      </c>
      <c r="B29" s="112"/>
      <c r="C29" s="238">
        <f>C25/C27</f>
        <v>2.0270270270270275E-2</v>
      </c>
      <c r="D29" s="238">
        <f t="shared" ref="D29:H29" si="8">D25/D27</f>
        <v>2.0270270270270271E-2</v>
      </c>
      <c r="E29" s="238" t="e">
        <f t="shared" si="8"/>
        <v>#DIV/0!</v>
      </c>
      <c r="F29" s="238" t="e">
        <f t="shared" si="8"/>
        <v>#DIV/0!</v>
      </c>
      <c r="G29" s="238" t="e">
        <f t="shared" si="8"/>
        <v>#DIV/0!</v>
      </c>
      <c r="H29" s="239" t="e">
        <f t="shared" si="8"/>
        <v>#DIV/0!</v>
      </c>
      <c r="I29" s="242"/>
      <c r="J29" s="243">
        <f t="shared" ref="J29:K29" si="9">J25/J27</f>
        <v>2.0270270270270271E-2</v>
      </c>
      <c r="K29" s="238">
        <f t="shared" si="9"/>
        <v>2.0270270270270268E-2</v>
      </c>
    </row>
    <row r="30" spans="1:13" ht="14.5" x14ac:dyDescent="0.35">
      <c r="I30"/>
    </row>
    <row r="31" spans="1:13" ht="14.5" x14ac:dyDescent="0.35">
      <c r="I31"/>
    </row>
    <row r="32" spans="1:13" ht="14.5" x14ac:dyDescent="0.35">
      <c r="I32"/>
    </row>
    <row r="33" spans="9:9" ht="14.5" x14ac:dyDescent="0.35">
      <c r="I33"/>
    </row>
  </sheetData>
  <mergeCells count="7">
    <mergeCell ref="A1:K1"/>
    <mergeCell ref="A4:A5"/>
    <mergeCell ref="B4:B5"/>
    <mergeCell ref="M4:M5"/>
    <mergeCell ref="A11:A12"/>
    <mergeCell ref="B11:B12"/>
    <mergeCell ref="M11:M12"/>
  </mergeCells>
  <printOptions horizontalCentered="1"/>
  <pageMargins left="0.70866141732283472" right="0.70866141732283472" top="0.74803149606299213" bottom="0.74803149606299213" header="0.31496062992125984" footer="0.31496062992125984"/>
  <pageSetup paperSize="9" scale="63" orientation="landscape" r:id="rId1"/>
  <headerFooter>
    <oddHeader>&amp;L&amp;F&amp;R&amp;A</oddHeader>
    <oddFooter>&amp;L&amp;D&amp;C&amp;P/&amp;N&amp;R&amp;T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2D48A-FE63-4AF0-85C7-D9620102A35B}">
  <sheetPr>
    <tabColor theme="4" tint="0.59999389629810485"/>
    <pageSetUpPr fitToPage="1"/>
  </sheetPr>
  <dimension ref="A1:M33"/>
  <sheetViews>
    <sheetView showGridLines="0" zoomScale="85" zoomScaleNormal="85" workbookViewId="0">
      <selection activeCell="B33" sqref="B33"/>
    </sheetView>
  </sheetViews>
  <sheetFormatPr baseColWidth="10" defaultColWidth="11.26953125" defaultRowHeight="13" x14ac:dyDescent="0.3"/>
  <cols>
    <col min="1" max="1" width="34.7265625" style="2" customWidth="1"/>
    <col min="2" max="2" width="11" style="17" customWidth="1"/>
    <col min="3" max="8" width="11" style="28" customWidth="1"/>
    <col min="9" max="9" width="6.7265625" style="28" customWidth="1"/>
    <col min="10" max="11" width="11" style="28" customWidth="1"/>
    <col min="12" max="12" width="11.26953125" style="2"/>
    <col min="13" max="13" width="20.26953125" style="2" bestFit="1" customWidth="1"/>
    <col min="14" max="16384" width="11.26953125" style="2"/>
  </cols>
  <sheetData>
    <row r="1" spans="1:13" ht="25.4" customHeight="1" x14ac:dyDescent="0.3">
      <c r="A1" s="658" t="s">
        <v>513</v>
      </c>
      <c r="B1" s="664"/>
      <c r="C1" s="664"/>
      <c r="D1" s="664"/>
      <c r="E1" s="664"/>
      <c r="F1" s="664"/>
      <c r="G1" s="664"/>
      <c r="H1" s="664"/>
      <c r="I1" s="664"/>
      <c r="J1" s="664"/>
      <c r="K1" s="664"/>
      <c r="L1" s="1"/>
    </row>
    <row r="3" spans="1:13" customFormat="1" ht="14.5" x14ac:dyDescent="0.35"/>
    <row r="4" spans="1:13" ht="13.15" customHeight="1" x14ac:dyDescent="0.35">
      <c r="A4" s="695" t="s">
        <v>197</v>
      </c>
      <c r="B4" s="655" t="s">
        <v>0</v>
      </c>
      <c r="C4" s="516" t="s">
        <v>414</v>
      </c>
      <c r="D4" s="516" t="s">
        <v>471</v>
      </c>
      <c r="E4" s="516" t="s">
        <v>472</v>
      </c>
      <c r="F4" s="516" t="s">
        <v>476</v>
      </c>
      <c r="G4" s="516" t="s">
        <v>530</v>
      </c>
      <c r="H4" s="516" t="s">
        <v>531</v>
      </c>
      <c r="I4"/>
      <c r="J4" s="633" t="s">
        <v>280</v>
      </c>
      <c r="K4" s="633" t="s">
        <v>281</v>
      </c>
      <c r="M4" s="661" t="s">
        <v>290</v>
      </c>
    </row>
    <row r="5" spans="1:13" ht="22.9" customHeight="1" x14ac:dyDescent="0.35">
      <c r="A5" s="696"/>
      <c r="B5" s="656"/>
      <c r="C5" s="77">
        <v>12</v>
      </c>
      <c r="D5" s="77">
        <v>12</v>
      </c>
      <c r="E5" s="77">
        <v>12</v>
      </c>
      <c r="F5" s="77">
        <v>12</v>
      </c>
      <c r="G5" s="77">
        <v>12</v>
      </c>
      <c r="H5" s="183">
        <v>12</v>
      </c>
      <c r="I5"/>
      <c r="J5" s="78">
        <v>12</v>
      </c>
      <c r="K5" s="78">
        <v>12</v>
      </c>
      <c r="M5" s="662"/>
    </row>
    <row r="6" spans="1:13" s="5" customFormat="1" ht="14.5" x14ac:dyDescent="0.35">
      <c r="A6" s="634" t="s">
        <v>62</v>
      </c>
      <c r="B6" s="8"/>
      <c r="C6" s="517"/>
      <c r="D6" s="517"/>
      <c r="E6" s="517"/>
      <c r="F6" s="517"/>
      <c r="G6" s="517"/>
      <c r="H6" s="324"/>
      <c r="I6"/>
      <c r="J6" s="10">
        <f t="shared" ref="J6:J8" si="0">IFERROR(AVERAGE(C6:H6),0)</f>
        <v>0</v>
      </c>
      <c r="K6" s="10">
        <f t="shared" ref="K6:K8" si="1">SUM(C6:H6)</f>
        <v>0</v>
      </c>
      <c r="M6" s="188"/>
    </row>
    <row r="7" spans="1:13" ht="14.5" x14ac:dyDescent="0.35">
      <c r="A7" s="635" t="s">
        <v>63</v>
      </c>
      <c r="B7" s="15"/>
      <c r="C7" s="106">
        <v>478.12500000000006</v>
      </c>
      <c r="D7" s="106">
        <v>1050.0000000000002</v>
      </c>
      <c r="E7" s="106">
        <v>1650</v>
      </c>
      <c r="F7" s="106">
        <v>2100.0000000000005</v>
      </c>
      <c r="G7" s="106">
        <v>2512.5</v>
      </c>
      <c r="H7" s="185">
        <v>3112.5</v>
      </c>
      <c r="I7"/>
      <c r="J7" s="636">
        <f t="shared" si="0"/>
        <v>1817.1875</v>
      </c>
      <c r="K7" s="16">
        <f t="shared" si="1"/>
        <v>10903.125</v>
      </c>
      <c r="M7" s="189"/>
    </row>
    <row r="8" spans="1:13" ht="14.5" x14ac:dyDescent="0.35">
      <c r="A8" s="18" t="s">
        <v>203</v>
      </c>
      <c r="B8" s="68"/>
      <c r="C8" s="19">
        <f>C6+C7</f>
        <v>478.12500000000006</v>
      </c>
      <c r="D8" s="19">
        <f t="shared" ref="D8:H8" si="2">D6+D7</f>
        <v>1050.0000000000002</v>
      </c>
      <c r="E8" s="19">
        <f t="shared" si="2"/>
        <v>1650</v>
      </c>
      <c r="F8" s="19">
        <f t="shared" si="2"/>
        <v>2100.0000000000005</v>
      </c>
      <c r="G8" s="19">
        <f t="shared" si="2"/>
        <v>2512.5</v>
      </c>
      <c r="H8" s="35">
        <f t="shared" si="2"/>
        <v>3112.5</v>
      </c>
      <c r="I8"/>
      <c r="J8" s="60">
        <f t="shared" si="0"/>
        <v>1817.1875</v>
      </c>
      <c r="K8" s="20">
        <f t="shared" si="1"/>
        <v>10903.125</v>
      </c>
      <c r="M8" s="190"/>
    </row>
    <row r="9" spans="1:13" ht="14.5" x14ac:dyDescent="0.35">
      <c r="C9" s="13"/>
      <c r="D9" s="13"/>
      <c r="E9" s="13"/>
      <c r="F9" s="13"/>
      <c r="G9" s="13"/>
      <c r="H9" s="13"/>
      <c r="I9"/>
      <c r="J9" s="13"/>
      <c r="K9" s="13"/>
    </row>
    <row r="10" spans="1:13" ht="14.5" x14ac:dyDescent="0.35">
      <c r="C10" s="13"/>
      <c r="D10" s="13"/>
      <c r="E10" s="13"/>
      <c r="F10" s="13"/>
      <c r="G10" s="13"/>
      <c r="H10" s="13"/>
      <c r="I10"/>
      <c r="J10" s="13"/>
      <c r="K10" s="13"/>
      <c r="M10"/>
    </row>
    <row r="11" spans="1:13" ht="26" x14ac:dyDescent="0.35">
      <c r="A11" s="695" t="s">
        <v>194</v>
      </c>
      <c r="B11" s="655" t="s">
        <v>0</v>
      </c>
      <c r="C11" s="516" t="s">
        <v>414</v>
      </c>
      <c r="D11" s="516" t="s">
        <v>471</v>
      </c>
      <c r="E11" s="516" t="s">
        <v>472</v>
      </c>
      <c r="F11" s="516" t="s">
        <v>476</v>
      </c>
      <c r="G11" s="516" t="s">
        <v>530</v>
      </c>
      <c r="H11" s="516" t="s">
        <v>531</v>
      </c>
      <c r="I11"/>
      <c r="J11" s="633" t="s">
        <v>256</v>
      </c>
      <c r="K11" s="633" t="s">
        <v>59</v>
      </c>
      <c r="M11" s="663" t="s">
        <v>290</v>
      </c>
    </row>
    <row r="12" spans="1:13" ht="14.5" x14ac:dyDescent="0.35">
      <c r="A12" s="696"/>
      <c r="B12" s="656"/>
      <c r="C12" s="77">
        <v>12</v>
      </c>
      <c r="D12" s="77">
        <v>12</v>
      </c>
      <c r="E12" s="77">
        <v>12</v>
      </c>
      <c r="F12" s="77">
        <v>12</v>
      </c>
      <c r="G12" s="77">
        <v>12</v>
      </c>
      <c r="H12" s="183">
        <v>12</v>
      </c>
      <c r="I12"/>
      <c r="J12" s="78">
        <v>12</v>
      </c>
      <c r="K12" s="78">
        <v>72</v>
      </c>
      <c r="M12" s="663"/>
    </row>
    <row r="13" spans="1:13" s="5" customFormat="1" ht="14.5" x14ac:dyDescent="0.35">
      <c r="A13" s="21" t="s">
        <v>193</v>
      </c>
      <c r="B13" s="153"/>
      <c r="C13" s="110">
        <f>SUM(C14:C16)</f>
        <v>8250</v>
      </c>
      <c r="D13" s="110">
        <f t="shared" ref="D13:H13" si="3">SUM(D14:D16)</f>
        <v>11000</v>
      </c>
      <c r="E13" s="110">
        <f t="shared" si="3"/>
        <v>11000</v>
      </c>
      <c r="F13" s="110">
        <f t="shared" si="3"/>
        <v>11000</v>
      </c>
      <c r="G13" s="110">
        <f t="shared" si="3"/>
        <v>11000</v>
      </c>
      <c r="H13" s="186">
        <f t="shared" si="3"/>
        <v>11000</v>
      </c>
      <c r="I13"/>
      <c r="J13" s="24">
        <f>IFERROR(AVERAGE(C13:H13),0)</f>
        <v>10541.666666666666</v>
      </c>
      <c r="K13" s="24">
        <f>SUM(C13:H13)</f>
        <v>63250</v>
      </c>
      <c r="M13" s="189"/>
    </row>
    <row r="14" spans="1:13" ht="14.5" x14ac:dyDescent="0.35">
      <c r="A14" s="25" t="s">
        <v>1</v>
      </c>
      <c r="B14" s="12"/>
      <c r="C14" s="13">
        <v>8250</v>
      </c>
      <c r="D14" s="13">
        <v>11000</v>
      </c>
      <c r="E14" s="13">
        <v>11000</v>
      </c>
      <c r="F14" s="13">
        <v>11000</v>
      </c>
      <c r="G14" s="13">
        <v>11000</v>
      </c>
      <c r="H14" s="159">
        <v>11000</v>
      </c>
      <c r="I14"/>
      <c r="J14" s="14">
        <f t="shared" ref="J14:J27" si="4">IFERROR(AVERAGE(C14:H14),0)</f>
        <v>10541.666666666666</v>
      </c>
      <c r="K14" s="14">
        <f t="shared" ref="K14:K27" si="5">SUM(C14:H14)</f>
        <v>63250</v>
      </c>
      <c r="M14" s="188"/>
    </row>
    <row r="15" spans="1:13" ht="14.5" x14ac:dyDescent="0.35">
      <c r="A15" s="25" t="s">
        <v>163</v>
      </c>
      <c r="B15" s="12"/>
      <c r="C15" s="13"/>
      <c r="D15" s="13"/>
      <c r="E15" s="13"/>
      <c r="F15" s="13"/>
      <c r="G15" s="13"/>
      <c r="H15" s="159"/>
      <c r="I15"/>
      <c r="J15" s="14">
        <f t="shared" si="4"/>
        <v>0</v>
      </c>
      <c r="K15" s="14">
        <f t="shared" si="5"/>
        <v>0</v>
      </c>
      <c r="M15" s="189"/>
    </row>
    <row r="16" spans="1:13" ht="14.5" x14ac:dyDescent="0.35">
      <c r="A16" s="25" t="s">
        <v>2</v>
      </c>
      <c r="B16" s="12"/>
      <c r="C16" s="13"/>
      <c r="D16" s="13"/>
      <c r="E16" s="13"/>
      <c r="F16" s="13"/>
      <c r="G16" s="13"/>
      <c r="H16" s="159"/>
      <c r="I16"/>
      <c r="J16" s="14">
        <f t="shared" si="4"/>
        <v>0</v>
      </c>
      <c r="K16" s="14">
        <f t="shared" si="5"/>
        <v>0</v>
      </c>
      <c r="M16" s="189"/>
    </row>
    <row r="17" spans="1:13" s="5" customFormat="1" ht="14.5" x14ac:dyDescent="0.35">
      <c r="A17" s="21" t="s">
        <v>195</v>
      </c>
      <c r="B17" s="153"/>
      <c r="C17" s="23">
        <f>SUM(C18:C25)</f>
        <v>90777.484500000006</v>
      </c>
      <c r="D17" s="23">
        <f t="shared" ref="D17:G17" si="6">SUM(D18:D25)</f>
        <v>109281.413</v>
      </c>
      <c r="E17" s="23">
        <f t="shared" si="6"/>
        <v>109281.413</v>
      </c>
      <c r="F17" s="23">
        <f t="shared" si="6"/>
        <v>109281.413</v>
      </c>
      <c r="G17" s="23">
        <f t="shared" si="6"/>
        <v>109281.413</v>
      </c>
      <c r="H17" s="179">
        <f>SUM(H18:H25)</f>
        <v>74015.714000000007</v>
      </c>
      <c r="I17"/>
      <c r="J17" s="24">
        <f t="shared" si="4"/>
        <v>100319.80841666668</v>
      </c>
      <c r="K17" s="24">
        <f t="shared" si="5"/>
        <v>601918.85050000006</v>
      </c>
      <c r="M17" s="190"/>
    </row>
    <row r="18" spans="1:13" ht="14.5" x14ac:dyDescent="0.35">
      <c r="A18" s="25" t="s">
        <v>3</v>
      </c>
      <c r="B18" s="12"/>
      <c r="C18" s="253"/>
      <c r="D18" s="13"/>
      <c r="E18" s="13"/>
      <c r="F18" s="13"/>
      <c r="G18" s="13"/>
      <c r="H18" s="159"/>
      <c r="I18"/>
      <c r="J18" s="14">
        <f t="shared" si="4"/>
        <v>0</v>
      </c>
      <c r="K18" s="14">
        <f t="shared" si="5"/>
        <v>0</v>
      </c>
      <c r="M18" s="189" t="s">
        <v>303</v>
      </c>
    </row>
    <row r="19" spans="1:13" ht="14.5" x14ac:dyDescent="0.35">
      <c r="A19" s="25" t="s">
        <v>162</v>
      </c>
      <c r="B19" s="12"/>
      <c r="C19" s="253"/>
      <c r="D19" s="13"/>
      <c r="E19" s="13"/>
      <c r="F19" s="13"/>
      <c r="G19" s="13"/>
      <c r="H19" s="159"/>
      <c r="I19"/>
      <c r="J19" s="14">
        <f t="shared" si="4"/>
        <v>0</v>
      </c>
      <c r="K19" s="14">
        <f t="shared" si="5"/>
        <v>0</v>
      </c>
      <c r="M19" s="189"/>
    </row>
    <row r="20" spans="1:13" ht="14.5" x14ac:dyDescent="0.35">
      <c r="A20" s="25" t="s">
        <v>4</v>
      </c>
      <c r="B20" s="12"/>
      <c r="C20" s="253">
        <v>2331.375</v>
      </c>
      <c r="D20" s="253">
        <v>2831.75</v>
      </c>
      <c r="E20" s="253">
        <v>2831.75</v>
      </c>
      <c r="F20" s="253">
        <v>2831.75</v>
      </c>
      <c r="G20" s="253">
        <v>2831.75</v>
      </c>
      <c r="H20" s="159">
        <v>2001.5</v>
      </c>
      <c r="I20"/>
      <c r="J20" s="14">
        <f t="shared" si="4"/>
        <v>2609.9791666666665</v>
      </c>
      <c r="K20" s="14">
        <f t="shared" si="5"/>
        <v>15659.875</v>
      </c>
      <c r="M20" s="189" t="s">
        <v>304</v>
      </c>
    </row>
    <row r="21" spans="1:13" ht="14.5" x14ac:dyDescent="0.35">
      <c r="A21" s="25" t="s">
        <v>5</v>
      </c>
      <c r="B21" s="12"/>
      <c r="C21" s="253">
        <v>1433.795625</v>
      </c>
      <c r="D21" s="13">
        <v>1741.5262499999999</v>
      </c>
      <c r="E21" s="13">
        <v>1741.5262499999999</v>
      </c>
      <c r="F21" s="13">
        <v>1741.5262499999999</v>
      </c>
      <c r="G21" s="13">
        <v>1741.5262499999999</v>
      </c>
      <c r="H21" s="159">
        <v>1230.9224999999999</v>
      </c>
      <c r="I21"/>
      <c r="J21" s="14">
        <f t="shared" si="4"/>
        <v>1605.1371874999998</v>
      </c>
      <c r="K21" s="14">
        <f t="shared" si="5"/>
        <v>9630.823124999999</v>
      </c>
      <c r="M21" s="189"/>
    </row>
    <row r="22" spans="1:13" ht="14.5" x14ac:dyDescent="0.35">
      <c r="A22" s="25" t="s">
        <v>172</v>
      </c>
      <c r="B22" s="12"/>
      <c r="C22" s="253">
        <v>33210</v>
      </c>
      <c r="D22" s="13">
        <v>33210</v>
      </c>
      <c r="E22" s="13">
        <v>33210</v>
      </c>
      <c r="F22" s="13">
        <v>33210</v>
      </c>
      <c r="G22" s="13">
        <v>33210</v>
      </c>
      <c r="H22" s="159"/>
      <c r="I22"/>
      <c r="J22" s="14">
        <f t="shared" si="4"/>
        <v>33210</v>
      </c>
      <c r="K22" s="14">
        <f t="shared" si="5"/>
        <v>166050</v>
      </c>
      <c r="M22" s="189"/>
    </row>
    <row r="23" spans="1:13" ht="14.5" x14ac:dyDescent="0.35">
      <c r="A23" s="25" t="s">
        <v>178</v>
      </c>
      <c r="B23" s="12"/>
      <c r="C23" s="253"/>
      <c r="D23" s="13"/>
      <c r="E23" s="13"/>
      <c r="F23" s="13"/>
      <c r="G23" s="13"/>
      <c r="H23" s="159"/>
      <c r="I23"/>
      <c r="J23" s="14">
        <f t="shared" si="4"/>
        <v>0</v>
      </c>
      <c r="K23" s="14">
        <f t="shared" si="5"/>
        <v>0</v>
      </c>
      <c r="M23" s="189"/>
    </row>
    <row r="24" spans="1:13" s="5" customFormat="1" ht="14.5" x14ac:dyDescent="0.35">
      <c r="A24" s="25" t="s">
        <v>6</v>
      </c>
      <c r="B24" s="12"/>
      <c r="C24" s="253">
        <v>51795</v>
      </c>
      <c r="D24" s="13">
        <v>69060</v>
      </c>
      <c r="E24" s="13">
        <v>69060</v>
      </c>
      <c r="F24" s="13">
        <v>69060</v>
      </c>
      <c r="G24" s="13">
        <v>69060</v>
      </c>
      <c r="H24" s="159">
        <v>69060</v>
      </c>
      <c r="I24"/>
      <c r="J24" s="14">
        <f t="shared" si="4"/>
        <v>66182.5</v>
      </c>
      <c r="K24" s="14">
        <f t="shared" si="5"/>
        <v>397095</v>
      </c>
      <c r="M24" s="189" t="s">
        <v>301</v>
      </c>
    </row>
    <row r="25" spans="1:13" ht="14.5" x14ac:dyDescent="0.35">
      <c r="A25" s="25" t="s">
        <v>192</v>
      </c>
      <c r="B25" s="12"/>
      <c r="C25" s="253">
        <v>2007.3138750000001</v>
      </c>
      <c r="D25" s="13">
        <v>2438.1367500000001</v>
      </c>
      <c r="E25" s="13">
        <v>2438.1367500000001</v>
      </c>
      <c r="F25" s="13">
        <v>2438.1367500000001</v>
      </c>
      <c r="G25" s="13">
        <v>2438.1367500000001</v>
      </c>
      <c r="H25" s="159">
        <v>1723.2915</v>
      </c>
      <c r="I25"/>
      <c r="J25" s="14">
        <f t="shared" si="4"/>
        <v>2247.1920624999998</v>
      </c>
      <c r="K25" s="14">
        <f t="shared" si="5"/>
        <v>13483.152375</v>
      </c>
      <c r="M25" s="189"/>
    </row>
    <row r="26" spans="1:13" ht="14.5" x14ac:dyDescent="0.35">
      <c r="A26" s="21" t="s">
        <v>196</v>
      </c>
      <c r="B26" s="151"/>
      <c r="C26" s="23"/>
      <c r="D26" s="23"/>
      <c r="E26" s="23"/>
      <c r="F26" s="23"/>
      <c r="G26" s="23"/>
      <c r="H26" s="179"/>
      <c r="I26"/>
      <c r="J26" s="24">
        <f t="shared" si="4"/>
        <v>0</v>
      </c>
      <c r="K26" s="24">
        <f t="shared" si="5"/>
        <v>0</v>
      </c>
      <c r="M26" s="190"/>
    </row>
    <row r="27" spans="1:13" ht="14.5" x14ac:dyDescent="0.35">
      <c r="A27" s="18" t="s">
        <v>204</v>
      </c>
      <c r="B27" s="57"/>
      <c r="C27" s="19">
        <f>C13+C17+C26</f>
        <v>99027.484500000006</v>
      </c>
      <c r="D27" s="19">
        <f t="shared" ref="D27:H27" si="7">D13+D17+D26</f>
        <v>120281.413</v>
      </c>
      <c r="E27" s="19">
        <f t="shared" si="7"/>
        <v>120281.413</v>
      </c>
      <c r="F27" s="19">
        <f t="shared" si="7"/>
        <v>120281.413</v>
      </c>
      <c r="G27" s="19">
        <f t="shared" si="7"/>
        <v>120281.413</v>
      </c>
      <c r="H27" s="35">
        <f t="shared" si="7"/>
        <v>85015.714000000007</v>
      </c>
      <c r="I27"/>
      <c r="J27" s="20">
        <f t="shared" si="4"/>
        <v>110861.47508333334</v>
      </c>
      <c r="K27" s="20">
        <f t="shared" si="5"/>
        <v>665168.85050000006</v>
      </c>
      <c r="M27" s="190"/>
    </row>
    <row r="28" spans="1:13" ht="14.5" x14ac:dyDescent="0.35">
      <c r="B28" s="30"/>
      <c r="C28" s="2"/>
      <c r="D28" s="2"/>
      <c r="E28" s="2"/>
      <c r="F28" s="2"/>
      <c r="G28" s="2"/>
      <c r="H28" s="2"/>
      <c r="I28"/>
      <c r="J28" s="2"/>
      <c r="K28" s="2"/>
      <c r="M28" s="11"/>
    </row>
    <row r="29" spans="1:13" ht="14.5" x14ac:dyDescent="0.35">
      <c r="A29" s="111" t="s">
        <v>198</v>
      </c>
      <c r="B29" s="112"/>
      <c r="C29" s="238">
        <f>C25/C27</f>
        <v>2.0270270270270268E-2</v>
      </c>
      <c r="D29" s="238">
        <f t="shared" ref="D29:H29" si="8">D25/D27</f>
        <v>2.0270270270270271E-2</v>
      </c>
      <c r="E29" s="238">
        <f t="shared" si="8"/>
        <v>2.0270270270270271E-2</v>
      </c>
      <c r="F29" s="238">
        <f t="shared" si="8"/>
        <v>2.0270270270270271E-2</v>
      </c>
      <c r="G29" s="238">
        <f t="shared" si="8"/>
        <v>2.0270270270270271E-2</v>
      </c>
      <c r="H29" s="239">
        <f t="shared" si="8"/>
        <v>2.0270270270270268E-2</v>
      </c>
      <c r="I29" s="242"/>
      <c r="J29" s="243">
        <f t="shared" ref="J29:K29" si="9">J25/J27</f>
        <v>2.0270270270270268E-2</v>
      </c>
      <c r="K29" s="238">
        <f t="shared" si="9"/>
        <v>2.0270270270270268E-2</v>
      </c>
    </row>
    <row r="30" spans="1:13" ht="14.5" x14ac:dyDescent="0.35">
      <c r="I30"/>
    </row>
    <row r="31" spans="1:13" ht="14.5" x14ac:dyDescent="0.35">
      <c r="I31"/>
    </row>
    <row r="32" spans="1:13" ht="14.5" x14ac:dyDescent="0.35">
      <c r="I32"/>
    </row>
    <row r="33" spans="9:9" ht="14.5" x14ac:dyDescent="0.35">
      <c r="I33"/>
    </row>
  </sheetData>
  <mergeCells count="7">
    <mergeCell ref="A1:K1"/>
    <mergeCell ref="A4:A5"/>
    <mergeCell ref="B4:B5"/>
    <mergeCell ref="M4:M5"/>
    <mergeCell ref="A11:A12"/>
    <mergeCell ref="B11:B12"/>
    <mergeCell ref="M11:M12"/>
  </mergeCells>
  <printOptions horizontalCentered="1"/>
  <pageMargins left="0.70866141732283472" right="0.70866141732283472" top="0.74803149606299213" bottom="0.74803149606299213" header="0.31496062992125984" footer="0.31496062992125984"/>
  <pageSetup paperSize="9" scale="63" orientation="landscape" r:id="rId1"/>
  <headerFooter>
    <oddHeader>&amp;L&amp;F&amp;R&amp;A</oddHeader>
    <oddFooter>&amp;L&amp;D&amp;C&amp;P/&amp;N&amp;R&amp;T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9DA44-3E3C-4130-A9FC-46805C2E49AF}">
  <sheetPr>
    <tabColor theme="4" tint="0.59999389629810485"/>
    <pageSetUpPr fitToPage="1"/>
  </sheetPr>
  <dimension ref="A1:M33"/>
  <sheetViews>
    <sheetView showGridLines="0" zoomScale="85" zoomScaleNormal="85" workbookViewId="0">
      <selection activeCell="B33" sqref="B33"/>
    </sheetView>
  </sheetViews>
  <sheetFormatPr baseColWidth="10" defaultColWidth="11.26953125" defaultRowHeight="13" x14ac:dyDescent="0.3"/>
  <cols>
    <col min="1" max="1" width="34.7265625" style="2" customWidth="1"/>
    <col min="2" max="2" width="11" style="17" customWidth="1"/>
    <col min="3" max="8" width="11" style="28" customWidth="1"/>
    <col min="9" max="9" width="6.7265625" style="28" customWidth="1"/>
    <col min="10" max="11" width="11" style="28" customWidth="1"/>
    <col min="12" max="12" width="11.26953125" style="2"/>
    <col min="13" max="13" width="20.26953125" style="2" bestFit="1" customWidth="1"/>
    <col min="14" max="16384" width="11.26953125" style="2"/>
  </cols>
  <sheetData>
    <row r="1" spans="1:13" ht="25.4" customHeight="1" x14ac:dyDescent="0.3">
      <c r="A1" s="658" t="s">
        <v>514</v>
      </c>
      <c r="B1" s="664"/>
      <c r="C1" s="664"/>
      <c r="D1" s="664"/>
      <c r="E1" s="664"/>
      <c r="F1" s="664"/>
      <c r="G1" s="664"/>
      <c r="H1" s="664"/>
      <c r="I1" s="664"/>
      <c r="J1" s="664"/>
      <c r="K1" s="664"/>
      <c r="L1" s="1"/>
    </row>
    <row r="3" spans="1:13" customFormat="1" ht="14.5" x14ac:dyDescent="0.35"/>
    <row r="4" spans="1:13" ht="13.15" customHeight="1" x14ac:dyDescent="0.35">
      <c r="A4" s="695" t="s">
        <v>197</v>
      </c>
      <c r="B4" s="655" t="s">
        <v>0</v>
      </c>
      <c r="C4" s="516" t="s">
        <v>414</v>
      </c>
      <c r="D4" s="516" t="s">
        <v>471</v>
      </c>
      <c r="E4" s="516" t="s">
        <v>472</v>
      </c>
      <c r="F4" s="516" t="s">
        <v>476</v>
      </c>
      <c r="G4" s="516" t="s">
        <v>530</v>
      </c>
      <c r="H4" s="516" t="s">
        <v>531</v>
      </c>
      <c r="I4"/>
      <c r="J4" s="633" t="s">
        <v>280</v>
      </c>
      <c r="K4" s="633" t="s">
        <v>281</v>
      </c>
      <c r="M4" s="661" t="s">
        <v>290</v>
      </c>
    </row>
    <row r="5" spans="1:13" ht="22.9" customHeight="1" x14ac:dyDescent="0.35">
      <c r="A5" s="696"/>
      <c r="B5" s="656"/>
      <c r="C5" s="77">
        <v>12</v>
      </c>
      <c r="D5" s="77">
        <v>12</v>
      </c>
      <c r="E5" s="77">
        <v>12</v>
      </c>
      <c r="F5" s="77">
        <v>12</v>
      </c>
      <c r="G5" s="77">
        <v>12</v>
      </c>
      <c r="H5" s="183">
        <v>12</v>
      </c>
      <c r="I5"/>
      <c r="J5" s="78">
        <v>12</v>
      </c>
      <c r="K5" s="78">
        <v>12</v>
      </c>
      <c r="M5" s="662"/>
    </row>
    <row r="6" spans="1:13" s="5" customFormat="1" ht="14.5" x14ac:dyDescent="0.35">
      <c r="A6" s="634" t="s">
        <v>62</v>
      </c>
      <c r="B6" s="8"/>
      <c r="C6" s="517"/>
      <c r="D6" s="517"/>
      <c r="E6" s="517"/>
      <c r="F6" s="517"/>
      <c r="G6" s="517"/>
      <c r="H6" s="324"/>
      <c r="I6"/>
      <c r="J6" s="10">
        <f t="shared" ref="J6:J8" si="0">IFERROR(AVERAGE(C6:H6),0)</f>
        <v>0</v>
      </c>
      <c r="K6" s="10">
        <f t="shared" ref="K6:K8" si="1">SUM(C6:H6)</f>
        <v>0</v>
      </c>
      <c r="M6" s="188"/>
    </row>
    <row r="7" spans="1:13" ht="14.5" x14ac:dyDescent="0.35">
      <c r="A7" s="635" t="s">
        <v>63</v>
      </c>
      <c r="B7" s="15"/>
      <c r="C7" s="106">
        <v>253.125</v>
      </c>
      <c r="D7" s="106">
        <v>562.5</v>
      </c>
      <c r="E7" s="106">
        <v>900.00000000000011</v>
      </c>
      <c r="F7" s="106">
        <v>1312.5</v>
      </c>
      <c r="G7" s="106">
        <v>1612.5</v>
      </c>
      <c r="H7" s="185">
        <v>2100.0000000000005</v>
      </c>
      <c r="I7"/>
      <c r="J7" s="636">
        <f t="shared" si="0"/>
        <v>1123.4375</v>
      </c>
      <c r="K7" s="16">
        <f t="shared" si="1"/>
        <v>6740.625</v>
      </c>
      <c r="M7" s="189"/>
    </row>
    <row r="8" spans="1:13" ht="14.5" x14ac:dyDescent="0.35">
      <c r="A8" s="18" t="s">
        <v>203</v>
      </c>
      <c r="B8" s="68"/>
      <c r="C8" s="19">
        <f>C6+C7</f>
        <v>253.125</v>
      </c>
      <c r="D8" s="19">
        <f t="shared" ref="D8:H8" si="2">D6+D7</f>
        <v>562.5</v>
      </c>
      <c r="E8" s="19">
        <f t="shared" si="2"/>
        <v>900.00000000000011</v>
      </c>
      <c r="F8" s="19">
        <f t="shared" si="2"/>
        <v>1312.5</v>
      </c>
      <c r="G8" s="19">
        <f t="shared" si="2"/>
        <v>1612.5</v>
      </c>
      <c r="H8" s="35">
        <f t="shared" si="2"/>
        <v>2100.0000000000005</v>
      </c>
      <c r="I8"/>
      <c r="J8" s="60">
        <f t="shared" si="0"/>
        <v>1123.4375</v>
      </c>
      <c r="K8" s="20">
        <f t="shared" si="1"/>
        <v>6740.625</v>
      </c>
      <c r="M8" s="190"/>
    </row>
    <row r="9" spans="1:13" ht="14.5" x14ac:dyDescent="0.35">
      <c r="C9" s="13"/>
      <c r="D9" s="13"/>
      <c r="E9" s="13"/>
      <c r="F9" s="13"/>
      <c r="G9" s="13"/>
      <c r="H9" s="13"/>
      <c r="I9"/>
      <c r="J9" s="13"/>
      <c r="K9" s="13"/>
    </row>
    <row r="10" spans="1:13" ht="14.5" x14ac:dyDescent="0.35">
      <c r="C10" s="13"/>
      <c r="D10" s="13"/>
      <c r="E10" s="13"/>
      <c r="F10" s="13"/>
      <c r="G10" s="13"/>
      <c r="H10" s="13"/>
      <c r="I10"/>
      <c r="J10" s="13"/>
      <c r="K10" s="13"/>
      <c r="M10"/>
    </row>
    <row r="11" spans="1:13" ht="26" x14ac:dyDescent="0.35">
      <c r="A11" s="695" t="s">
        <v>194</v>
      </c>
      <c r="B11" s="655" t="s">
        <v>0</v>
      </c>
      <c r="C11" s="516" t="s">
        <v>414</v>
      </c>
      <c r="D11" s="516" t="s">
        <v>471</v>
      </c>
      <c r="E11" s="516" t="s">
        <v>472</v>
      </c>
      <c r="F11" s="516" t="s">
        <v>476</v>
      </c>
      <c r="G11" s="516" t="s">
        <v>530</v>
      </c>
      <c r="H11" s="516" t="s">
        <v>531</v>
      </c>
      <c r="I11"/>
      <c r="J11" s="633" t="s">
        <v>256</v>
      </c>
      <c r="K11" s="633" t="s">
        <v>59</v>
      </c>
      <c r="M11" s="663" t="s">
        <v>290</v>
      </c>
    </row>
    <row r="12" spans="1:13" ht="14.5" x14ac:dyDescent="0.35">
      <c r="A12" s="696"/>
      <c r="B12" s="656"/>
      <c r="C12" s="77">
        <v>12</v>
      </c>
      <c r="D12" s="77">
        <v>12</v>
      </c>
      <c r="E12" s="77">
        <v>12</v>
      </c>
      <c r="F12" s="77">
        <v>12</v>
      </c>
      <c r="G12" s="77">
        <v>12</v>
      </c>
      <c r="H12" s="183">
        <v>12</v>
      </c>
      <c r="I12"/>
      <c r="J12" s="78">
        <v>12</v>
      </c>
      <c r="K12" s="78">
        <v>72</v>
      </c>
      <c r="M12" s="663"/>
    </row>
    <row r="13" spans="1:13" s="5" customFormat="1" ht="14.5" x14ac:dyDescent="0.35">
      <c r="A13" s="21" t="s">
        <v>193</v>
      </c>
      <c r="B13" s="153"/>
      <c r="C13" s="110">
        <f>SUM(C14:C16)</f>
        <v>0</v>
      </c>
      <c r="D13" s="110">
        <f t="shared" ref="D13:H13" si="3">SUM(D14:D16)</f>
        <v>11000</v>
      </c>
      <c r="E13" s="110">
        <f t="shared" si="3"/>
        <v>11000</v>
      </c>
      <c r="F13" s="110">
        <f t="shared" si="3"/>
        <v>11000</v>
      </c>
      <c r="G13" s="110">
        <f t="shared" si="3"/>
        <v>11000</v>
      </c>
      <c r="H13" s="186">
        <f t="shared" si="3"/>
        <v>11000</v>
      </c>
      <c r="I13"/>
      <c r="J13" s="24">
        <f>IFERROR(AVERAGE(C13:H13),0)</f>
        <v>9166.6666666666661</v>
      </c>
      <c r="K13" s="24">
        <f>SUM(C13:H13)</f>
        <v>55000</v>
      </c>
      <c r="M13" s="189"/>
    </row>
    <row r="14" spans="1:13" ht="14.5" x14ac:dyDescent="0.35">
      <c r="A14" s="25" t="s">
        <v>1</v>
      </c>
      <c r="B14" s="12"/>
      <c r="C14" s="13">
        <v>0</v>
      </c>
      <c r="D14" s="13">
        <v>11000</v>
      </c>
      <c r="E14" s="13">
        <v>11000</v>
      </c>
      <c r="F14" s="13">
        <v>11000</v>
      </c>
      <c r="G14" s="13">
        <v>11000</v>
      </c>
      <c r="H14" s="159">
        <v>11000</v>
      </c>
      <c r="I14"/>
      <c r="J14" s="14">
        <f t="shared" ref="J14:J27" si="4">IFERROR(AVERAGE(C14:H14),0)</f>
        <v>9166.6666666666661</v>
      </c>
      <c r="K14" s="14">
        <f t="shared" ref="K14:K27" si="5">SUM(C14:H14)</f>
        <v>55000</v>
      </c>
      <c r="M14" s="188"/>
    </row>
    <row r="15" spans="1:13" ht="14.5" x14ac:dyDescent="0.35">
      <c r="A15" s="25" t="s">
        <v>163</v>
      </c>
      <c r="B15" s="12"/>
      <c r="C15" s="13"/>
      <c r="D15" s="13"/>
      <c r="E15" s="13"/>
      <c r="F15" s="13"/>
      <c r="G15" s="13"/>
      <c r="H15" s="159"/>
      <c r="I15"/>
      <c r="J15" s="14">
        <f t="shared" si="4"/>
        <v>0</v>
      </c>
      <c r="K15" s="14">
        <f t="shared" si="5"/>
        <v>0</v>
      </c>
      <c r="M15" s="189"/>
    </row>
    <row r="16" spans="1:13" ht="14.5" x14ac:dyDescent="0.35">
      <c r="A16" s="25" t="s">
        <v>2</v>
      </c>
      <c r="B16" s="12"/>
      <c r="C16" s="13"/>
      <c r="D16" s="13"/>
      <c r="E16" s="13"/>
      <c r="F16" s="13"/>
      <c r="G16" s="13"/>
      <c r="H16" s="159"/>
      <c r="I16"/>
      <c r="J16" s="14">
        <f t="shared" si="4"/>
        <v>0</v>
      </c>
      <c r="K16" s="14">
        <f t="shared" si="5"/>
        <v>0</v>
      </c>
      <c r="M16" s="189"/>
    </row>
    <row r="17" spans="1:13" s="5" customFormat="1" ht="14.5" x14ac:dyDescent="0.35">
      <c r="A17" s="21" t="s">
        <v>195</v>
      </c>
      <c r="B17" s="153"/>
      <c r="C17" s="23">
        <f>SUM(C18:C25)</f>
        <v>0</v>
      </c>
      <c r="D17" s="23">
        <f t="shared" ref="D17:G17" si="6">SUM(D18:D25)</f>
        <v>112127.51738</v>
      </c>
      <c r="E17" s="23">
        <f t="shared" si="6"/>
        <v>112127.51738</v>
      </c>
      <c r="F17" s="23">
        <f t="shared" si="6"/>
        <v>112127.51738</v>
      </c>
      <c r="G17" s="23">
        <f t="shared" si="6"/>
        <v>112127.51738</v>
      </c>
      <c r="H17" s="179">
        <f>SUM(H18:H25)</f>
        <v>112127.51738</v>
      </c>
      <c r="I17"/>
      <c r="J17" s="24">
        <f t="shared" si="4"/>
        <v>93439.597816666661</v>
      </c>
      <c r="K17" s="24">
        <f t="shared" si="5"/>
        <v>560637.58689999999</v>
      </c>
      <c r="M17" s="190"/>
    </row>
    <row r="18" spans="1:13" ht="14.5" x14ac:dyDescent="0.35">
      <c r="A18" s="25" t="s">
        <v>3</v>
      </c>
      <c r="B18" s="12"/>
      <c r="C18" s="253"/>
      <c r="D18" s="13"/>
      <c r="E18" s="13"/>
      <c r="F18" s="13"/>
      <c r="G18" s="13"/>
      <c r="H18" s="159"/>
      <c r="I18"/>
      <c r="J18" s="14">
        <f t="shared" si="4"/>
        <v>0</v>
      </c>
      <c r="K18" s="14">
        <f t="shared" si="5"/>
        <v>0</v>
      </c>
      <c r="M18" s="189" t="s">
        <v>303</v>
      </c>
    </row>
    <row r="19" spans="1:13" ht="14.5" x14ac:dyDescent="0.35">
      <c r="A19" s="25" t="s">
        <v>162</v>
      </c>
      <c r="B19" s="12"/>
      <c r="C19" s="253"/>
      <c r="D19" s="13"/>
      <c r="E19" s="13"/>
      <c r="F19" s="13"/>
      <c r="G19" s="13"/>
      <c r="H19" s="159"/>
      <c r="I19"/>
      <c r="J19" s="14">
        <f t="shared" si="4"/>
        <v>0</v>
      </c>
      <c r="K19" s="14">
        <f t="shared" si="5"/>
        <v>0</v>
      </c>
      <c r="M19" s="189"/>
    </row>
    <row r="20" spans="1:13" ht="14.5" x14ac:dyDescent="0.35">
      <c r="A20" s="25" t="s">
        <v>4</v>
      </c>
      <c r="B20" s="12"/>
      <c r="C20" s="253">
        <v>0</v>
      </c>
      <c r="D20" s="253">
        <v>2898.7550000000001</v>
      </c>
      <c r="E20" s="253">
        <v>2898.7550000000001</v>
      </c>
      <c r="F20" s="253">
        <v>2898.7550000000001</v>
      </c>
      <c r="G20" s="253">
        <v>2898.7550000000001</v>
      </c>
      <c r="H20" s="159">
        <v>2898.7550000000001</v>
      </c>
      <c r="I20"/>
      <c r="J20" s="14">
        <f t="shared" si="4"/>
        <v>2415.6291666666671</v>
      </c>
      <c r="K20" s="14">
        <f t="shared" si="5"/>
        <v>14493.775000000001</v>
      </c>
      <c r="M20" s="189" t="s">
        <v>304</v>
      </c>
    </row>
    <row r="21" spans="1:13" ht="14.5" x14ac:dyDescent="0.35">
      <c r="A21" s="25" t="s">
        <v>5</v>
      </c>
      <c r="B21" s="12"/>
      <c r="C21" s="253">
        <v>0</v>
      </c>
      <c r="D21" s="13">
        <v>1782.7343249999999</v>
      </c>
      <c r="E21" s="13">
        <v>1782.7343249999999</v>
      </c>
      <c r="F21" s="13">
        <v>1782.7343249999999</v>
      </c>
      <c r="G21" s="13">
        <v>1782.7343249999999</v>
      </c>
      <c r="H21" s="159">
        <v>1782.7343249999999</v>
      </c>
      <c r="I21"/>
      <c r="J21" s="14">
        <f t="shared" si="4"/>
        <v>1485.6119374999998</v>
      </c>
      <c r="K21" s="14">
        <f t="shared" si="5"/>
        <v>8913.671624999999</v>
      </c>
      <c r="M21" s="189"/>
    </row>
    <row r="22" spans="1:13" ht="14.5" x14ac:dyDescent="0.35">
      <c r="A22" s="25" t="s">
        <v>172</v>
      </c>
      <c r="B22" s="12"/>
      <c r="C22" s="253">
        <v>0</v>
      </c>
      <c r="D22" s="13">
        <v>33715.199999999997</v>
      </c>
      <c r="E22" s="13">
        <v>33715.199999999997</v>
      </c>
      <c r="F22" s="13">
        <v>33715.199999999997</v>
      </c>
      <c r="G22" s="13">
        <v>33715.199999999997</v>
      </c>
      <c r="H22" s="159">
        <v>33715.199999999997</v>
      </c>
      <c r="I22"/>
      <c r="J22" s="14">
        <f t="shared" si="4"/>
        <v>28096</v>
      </c>
      <c r="K22" s="14">
        <f t="shared" si="5"/>
        <v>168576</v>
      </c>
      <c r="M22" s="189"/>
    </row>
    <row r="23" spans="1:13" ht="14.5" x14ac:dyDescent="0.35">
      <c r="A23" s="25" t="s">
        <v>178</v>
      </c>
      <c r="B23" s="12"/>
      <c r="C23" s="253"/>
      <c r="D23" s="13"/>
      <c r="E23" s="13"/>
      <c r="F23" s="13"/>
      <c r="G23" s="13"/>
      <c r="H23" s="159"/>
      <c r="I23"/>
      <c r="J23" s="14">
        <f t="shared" si="4"/>
        <v>0</v>
      </c>
      <c r="K23" s="14">
        <f t="shared" si="5"/>
        <v>0</v>
      </c>
      <c r="M23" s="189"/>
    </row>
    <row r="24" spans="1:13" s="5" customFormat="1" ht="14.5" x14ac:dyDescent="0.35">
      <c r="A24" s="25" t="s">
        <v>6</v>
      </c>
      <c r="B24" s="12"/>
      <c r="C24" s="253">
        <v>0</v>
      </c>
      <c r="D24" s="13">
        <v>71235</v>
      </c>
      <c r="E24" s="13">
        <v>71235</v>
      </c>
      <c r="F24" s="13">
        <v>71235</v>
      </c>
      <c r="G24" s="13">
        <v>71235</v>
      </c>
      <c r="H24" s="159">
        <v>71235</v>
      </c>
      <c r="I24"/>
      <c r="J24" s="14">
        <f t="shared" si="4"/>
        <v>59362.5</v>
      </c>
      <c r="K24" s="14">
        <f t="shared" si="5"/>
        <v>356175</v>
      </c>
      <c r="M24" s="189" t="s">
        <v>301</v>
      </c>
    </row>
    <row r="25" spans="1:13" ht="14.5" x14ac:dyDescent="0.35">
      <c r="A25" s="25" t="s">
        <v>192</v>
      </c>
      <c r="B25" s="12"/>
      <c r="C25" s="253">
        <v>0</v>
      </c>
      <c r="D25" s="13">
        <v>2495.8280550000004</v>
      </c>
      <c r="E25" s="13">
        <v>2495.8280550000004</v>
      </c>
      <c r="F25" s="13">
        <v>2495.8280550000004</v>
      </c>
      <c r="G25" s="13">
        <v>2495.8280550000004</v>
      </c>
      <c r="H25" s="159">
        <v>2495.8280550000004</v>
      </c>
      <c r="I25"/>
      <c r="J25" s="14">
        <f t="shared" si="4"/>
        <v>2079.8567125000004</v>
      </c>
      <c r="K25" s="14">
        <f t="shared" si="5"/>
        <v>12479.140275000002</v>
      </c>
      <c r="M25" s="189"/>
    </row>
    <row r="26" spans="1:13" ht="14.5" x14ac:dyDescent="0.35">
      <c r="A26" s="21" t="s">
        <v>196</v>
      </c>
      <c r="B26" s="151"/>
      <c r="C26" s="23"/>
      <c r="D26" s="23"/>
      <c r="E26" s="23"/>
      <c r="F26" s="23"/>
      <c r="G26" s="23"/>
      <c r="H26" s="179"/>
      <c r="I26"/>
      <c r="J26" s="24">
        <f t="shared" si="4"/>
        <v>0</v>
      </c>
      <c r="K26" s="24">
        <f t="shared" si="5"/>
        <v>0</v>
      </c>
      <c r="M26" s="190"/>
    </row>
    <row r="27" spans="1:13" ht="14.5" x14ac:dyDescent="0.35">
      <c r="A27" s="18" t="s">
        <v>204</v>
      </c>
      <c r="B27" s="57"/>
      <c r="C27" s="19">
        <f>C13+C17+C26</f>
        <v>0</v>
      </c>
      <c r="D27" s="19">
        <f t="shared" ref="D27:H27" si="7">D13+D17+D26</f>
        <v>123127.51738</v>
      </c>
      <c r="E27" s="19">
        <f t="shared" si="7"/>
        <v>123127.51738</v>
      </c>
      <c r="F27" s="19">
        <f t="shared" si="7"/>
        <v>123127.51738</v>
      </c>
      <c r="G27" s="19">
        <f t="shared" si="7"/>
        <v>123127.51738</v>
      </c>
      <c r="H27" s="35">
        <f t="shared" si="7"/>
        <v>123127.51738</v>
      </c>
      <c r="I27"/>
      <c r="J27" s="20">
        <f t="shared" si="4"/>
        <v>102606.26448333333</v>
      </c>
      <c r="K27" s="20">
        <f t="shared" si="5"/>
        <v>615637.58689999999</v>
      </c>
      <c r="M27" s="190"/>
    </row>
    <row r="28" spans="1:13" ht="14.5" x14ac:dyDescent="0.35">
      <c r="B28" s="30"/>
      <c r="C28" s="2"/>
      <c r="D28" s="2"/>
      <c r="E28" s="2"/>
      <c r="F28" s="2"/>
      <c r="G28" s="2"/>
      <c r="H28" s="2"/>
      <c r="I28"/>
      <c r="J28" s="2"/>
      <c r="K28" s="2"/>
      <c r="M28" s="11"/>
    </row>
    <row r="29" spans="1:13" ht="14.5" x14ac:dyDescent="0.35">
      <c r="A29" s="111" t="s">
        <v>198</v>
      </c>
      <c r="B29" s="112"/>
      <c r="C29" s="238" t="e">
        <f>C25/C27</f>
        <v>#DIV/0!</v>
      </c>
      <c r="D29" s="238">
        <f t="shared" ref="D29:H29" si="8">D25/D27</f>
        <v>2.0270270270270271E-2</v>
      </c>
      <c r="E29" s="238">
        <f t="shared" si="8"/>
        <v>2.0270270270270271E-2</v>
      </c>
      <c r="F29" s="238">
        <f t="shared" si="8"/>
        <v>2.0270270270270271E-2</v>
      </c>
      <c r="G29" s="238">
        <f t="shared" si="8"/>
        <v>2.0270270270270271E-2</v>
      </c>
      <c r="H29" s="239">
        <f t="shared" si="8"/>
        <v>2.0270270270270271E-2</v>
      </c>
      <c r="I29" s="242"/>
      <c r="J29" s="243">
        <f t="shared" ref="J29:K29" si="9">J25/J27</f>
        <v>2.0270270270270275E-2</v>
      </c>
      <c r="K29" s="238">
        <f t="shared" si="9"/>
        <v>2.0270270270270271E-2</v>
      </c>
    </row>
    <row r="30" spans="1:13" ht="14.5" x14ac:dyDescent="0.35">
      <c r="I30"/>
    </row>
    <row r="31" spans="1:13" ht="14.5" x14ac:dyDescent="0.35">
      <c r="I31"/>
    </row>
    <row r="32" spans="1:13" ht="14.5" x14ac:dyDescent="0.35">
      <c r="I32"/>
    </row>
    <row r="33" spans="9:9" ht="14.5" x14ac:dyDescent="0.35">
      <c r="I33"/>
    </row>
  </sheetData>
  <mergeCells count="7">
    <mergeCell ref="A1:K1"/>
    <mergeCell ref="A4:A5"/>
    <mergeCell ref="B4:B5"/>
    <mergeCell ref="M4:M5"/>
    <mergeCell ref="A11:A12"/>
    <mergeCell ref="B11:B12"/>
    <mergeCell ref="M11:M12"/>
  </mergeCells>
  <printOptions horizontalCentered="1"/>
  <pageMargins left="0.70866141732283472" right="0.70866141732283472" top="0.74803149606299213" bottom="0.74803149606299213" header="0.31496062992125984" footer="0.31496062992125984"/>
  <pageSetup paperSize="9" scale="63" orientation="landscape" r:id="rId1"/>
  <headerFooter>
    <oddHeader>&amp;L&amp;F&amp;R&amp;A</oddHeader>
    <oddFooter>&amp;L&amp;D&amp;C&amp;P/&amp;N&amp;R&amp;T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B3FF2-11F9-4F83-842B-7B81983792CD}">
  <sheetPr>
    <tabColor theme="4" tint="0.59999389629810485"/>
    <pageSetUpPr fitToPage="1"/>
  </sheetPr>
  <dimension ref="A1:M33"/>
  <sheetViews>
    <sheetView showGridLines="0" zoomScale="85" zoomScaleNormal="85" workbookViewId="0">
      <selection activeCell="B33" sqref="B33"/>
    </sheetView>
  </sheetViews>
  <sheetFormatPr baseColWidth="10" defaultColWidth="11.26953125" defaultRowHeight="13" x14ac:dyDescent="0.3"/>
  <cols>
    <col min="1" max="1" width="34.7265625" style="2" customWidth="1"/>
    <col min="2" max="2" width="11" style="17" customWidth="1"/>
    <col min="3" max="8" width="11" style="28" customWidth="1"/>
    <col min="9" max="9" width="6.7265625" style="28" customWidth="1"/>
    <col min="10" max="11" width="11" style="28" customWidth="1"/>
    <col min="12" max="12" width="11.26953125" style="2"/>
    <col min="13" max="13" width="20.26953125" style="2" bestFit="1" customWidth="1"/>
    <col min="14" max="16384" width="11.26953125" style="2"/>
  </cols>
  <sheetData>
    <row r="1" spans="1:13" ht="25.4" customHeight="1" x14ac:dyDescent="0.3">
      <c r="A1" s="658" t="s">
        <v>533</v>
      </c>
      <c r="B1" s="664"/>
      <c r="C1" s="664"/>
      <c r="D1" s="664"/>
      <c r="E1" s="664"/>
      <c r="F1" s="664"/>
      <c r="G1" s="664"/>
      <c r="H1" s="664"/>
      <c r="I1" s="664"/>
      <c r="J1" s="664"/>
      <c r="K1" s="664"/>
      <c r="L1" s="1"/>
    </row>
    <row r="3" spans="1:13" customFormat="1" ht="14.5" x14ac:dyDescent="0.35"/>
    <row r="4" spans="1:13" ht="13.15" customHeight="1" x14ac:dyDescent="0.35">
      <c r="A4" s="695" t="s">
        <v>197</v>
      </c>
      <c r="B4" s="655" t="s">
        <v>0</v>
      </c>
      <c r="C4" s="516" t="s">
        <v>414</v>
      </c>
      <c r="D4" s="516" t="s">
        <v>471</v>
      </c>
      <c r="E4" s="516" t="s">
        <v>472</v>
      </c>
      <c r="F4" s="516" t="s">
        <v>476</v>
      </c>
      <c r="G4" s="516" t="s">
        <v>530</v>
      </c>
      <c r="H4" s="516" t="s">
        <v>531</v>
      </c>
      <c r="I4"/>
      <c r="J4" s="633" t="s">
        <v>280</v>
      </c>
      <c r="K4" s="633" t="s">
        <v>281</v>
      </c>
      <c r="M4" s="661" t="s">
        <v>290</v>
      </c>
    </row>
    <row r="5" spans="1:13" ht="22.9" customHeight="1" x14ac:dyDescent="0.35">
      <c r="A5" s="696"/>
      <c r="B5" s="656"/>
      <c r="C5" s="77">
        <v>12</v>
      </c>
      <c r="D5" s="77">
        <v>12</v>
      </c>
      <c r="E5" s="77">
        <v>12</v>
      </c>
      <c r="F5" s="77">
        <v>12</v>
      </c>
      <c r="G5" s="77">
        <v>12</v>
      </c>
      <c r="H5" s="183">
        <v>12</v>
      </c>
      <c r="I5"/>
      <c r="J5" s="78">
        <v>12</v>
      </c>
      <c r="K5" s="78">
        <v>12</v>
      </c>
      <c r="M5" s="662"/>
    </row>
    <row r="6" spans="1:13" s="5" customFormat="1" ht="14.5" x14ac:dyDescent="0.35">
      <c r="A6" s="634" t="s">
        <v>62</v>
      </c>
      <c r="B6" s="8"/>
      <c r="C6" s="517"/>
      <c r="D6" s="517"/>
      <c r="E6" s="517"/>
      <c r="F6" s="517"/>
      <c r="G6" s="517"/>
      <c r="H6" s="324"/>
      <c r="I6"/>
      <c r="J6" s="10">
        <f t="shared" ref="J6:J8" si="0">IFERROR(AVERAGE(C6:H6),0)</f>
        <v>0</v>
      </c>
      <c r="K6" s="10">
        <f t="shared" ref="K6:K8" si="1">SUM(C6:H6)</f>
        <v>0</v>
      </c>
      <c r="M6" s="188"/>
    </row>
    <row r="7" spans="1:13" ht="14.5" x14ac:dyDescent="0.35">
      <c r="A7" s="635" t="s">
        <v>63</v>
      </c>
      <c r="B7" s="15"/>
      <c r="C7" s="106">
        <v>840.5</v>
      </c>
      <c r="D7" s="106">
        <v>1269</v>
      </c>
      <c r="E7" s="106">
        <v>1850</v>
      </c>
      <c r="F7" s="106">
        <v>2508</v>
      </c>
      <c r="G7" s="106">
        <v>2623</v>
      </c>
      <c r="H7" s="185">
        <v>2790.5</v>
      </c>
      <c r="I7"/>
      <c r="J7" s="636">
        <f t="shared" si="0"/>
        <v>1980.1666666666667</v>
      </c>
      <c r="K7" s="16">
        <f t="shared" si="1"/>
        <v>11881</v>
      </c>
      <c r="M7" s="189"/>
    </row>
    <row r="8" spans="1:13" ht="14.5" x14ac:dyDescent="0.35">
      <c r="A8" s="18" t="s">
        <v>203</v>
      </c>
      <c r="B8" s="68"/>
      <c r="C8" s="19">
        <f>C6+C7</f>
        <v>840.5</v>
      </c>
      <c r="D8" s="19">
        <f t="shared" ref="D8:H8" si="2">D6+D7</f>
        <v>1269</v>
      </c>
      <c r="E8" s="19">
        <f t="shared" si="2"/>
        <v>1850</v>
      </c>
      <c r="F8" s="19">
        <f t="shared" si="2"/>
        <v>2508</v>
      </c>
      <c r="G8" s="19">
        <f t="shared" si="2"/>
        <v>2623</v>
      </c>
      <c r="H8" s="35">
        <f t="shared" si="2"/>
        <v>2790.5</v>
      </c>
      <c r="I8"/>
      <c r="J8" s="60">
        <f t="shared" si="0"/>
        <v>1980.1666666666667</v>
      </c>
      <c r="K8" s="20">
        <f t="shared" si="1"/>
        <v>11881</v>
      </c>
      <c r="M8" s="190"/>
    </row>
    <row r="9" spans="1:13" ht="14.5" x14ac:dyDescent="0.35">
      <c r="C9" s="13"/>
      <c r="D9" s="13"/>
      <c r="E9" s="13"/>
      <c r="F9" s="13"/>
      <c r="G9" s="13"/>
      <c r="H9" s="13"/>
      <c r="I9"/>
      <c r="J9" s="13"/>
      <c r="K9" s="13"/>
    </row>
    <row r="10" spans="1:13" ht="14.5" x14ac:dyDescent="0.35">
      <c r="C10" s="13"/>
      <c r="D10" s="13"/>
      <c r="E10" s="13"/>
      <c r="F10" s="13"/>
      <c r="G10" s="13"/>
      <c r="H10" s="13"/>
      <c r="I10"/>
      <c r="J10" s="13"/>
      <c r="K10" s="13"/>
      <c r="M10"/>
    </row>
    <row r="11" spans="1:13" ht="26" x14ac:dyDescent="0.35">
      <c r="A11" s="695" t="s">
        <v>194</v>
      </c>
      <c r="B11" s="655" t="s">
        <v>0</v>
      </c>
      <c r="C11" s="516" t="s">
        <v>414</v>
      </c>
      <c r="D11" s="516" t="s">
        <v>471</v>
      </c>
      <c r="E11" s="516" t="s">
        <v>472</v>
      </c>
      <c r="F11" s="516" t="s">
        <v>476</v>
      </c>
      <c r="G11" s="516" t="s">
        <v>530</v>
      </c>
      <c r="H11" s="516" t="s">
        <v>531</v>
      </c>
      <c r="I11"/>
      <c r="J11" s="633" t="s">
        <v>256</v>
      </c>
      <c r="K11" s="633" t="s">
        <v>59</v>
      </c>
      <c r="M11" s="663" t="s">
        <v>290</v>
      </c>
    </row>
    <row r="12" spans="1:13" ht="14.5" x14ac:dyDescent="0.35">
      <c r="A12" s="696"/>
      <c r="B12" s="656"/>
      <c r="C12" s="77">
        <v>12</v>
      </c>
      <c r="D12" s="77">
        <v>12</v>
      </c>
      <c r="E12" s="77">
        <v>12</v>
      </c>
      <c r="F12" s="77">
        <v>12</v>
      </c>
      <c r="G12" s="77">
        <v>12</v>
      </c>
      <c r="H12" s="183">
        <v>12</v>
      </c>
      <c r="I12"/>
      <c r="J12" s="78">
        <v>12</v>
      </c>
      <c r="K12" s="78">
        <v>72</v>
      </c>
      <c r="M12" s="663"/>
    </row>
    <row r="13" spans="1:13" s="5" customFormat="1" ht="14.5" x14ac:dyDescent="0.35">
      <c r="A13" s="21" t="s">
        <v>193</v>
      </c>
      <c r="B13" s="153"/>
      <c r="C13" s="110">
        <f>SUM(C14:C16)</f>
        <v>0</v>
      </c>
      <c r="D13" s="110">
        <f t="shared" ref="D13:H13" si="3">SUM(D14:D16)</f>
        <v>0</v>
      </c>
      <c r="E13" s="110">
        <f t="shared" si="3"/>
        <v>0</v>
      </c>
      <c r="F13" s="110">
        <f t="shared" si="3"/>
        <v>0</v>
      </c>
      <c r="G13" s="110">
        <f t="shared" si="3"/>
        <v>0</v>
      </c>
      <c r="H13" s="186">
        <f t="shared" si="3"/>
        <v>0</v>
      </c>
      <c r="I13"/>
      <c r="J13" s="24">
        <f>IFERROR(AVERAGE(C13:H13),0)</f>
        <v>0</v>
      </c>
      <c r="K13" s="24">
        <f>SUM(C13:H13)</f>
        <v>0</v>
      </c>
      <c r="M13" s="189"/>
    </row>
    <row r="14" spans="1:13" ht="14.5" x14ac:dyDescent="0.35">
      <c r="A14" s="25" t="s">
        <v>1</v>
      </c>
      <c r="B14" s="12"/>
      <c r="C14" s="13"/>
      <c r="D14" s="13"/>
      <c r="E14" s="13"/>
      <c r="F14" s="13"/>
      <c r="G14" s="13"/>
      <c r="H14" s="159"/>
      <c r="I14"/>
      <c r="J14" s="14">
        <f t="shared" ref="J14:J27" si="4">IFERROR(AVERAGE(C14:H14),0)</f>
        <v>0</v>
      </c>
      <c r="K14" s="14">
        <f t="shared" ref="K14:K27" si="5">SUM(C14:H14)</f>
        <v>0</v>
      </c>
      <c r="M14" s="188"/>
    </row>
    <row r="15" spans="1:13" ht="14.5" x14ac:dyDescent="0.35">
      <c r="A15" s="25" t="s">
        <v>163</v>
      </c>
      <c r="B15" s="12"/>
      <c r="C15" s="13"/>
      <c r="D15" s="13"/>
      <c r="E15" s="13"/>
      <c r="F15" s="13"/>
      <c r="G15" s="13"/>
      <c r="H15" s="159"/>
      <c r="I15"/>
      <c r="J15" s="14">
        <f t="shared" si="4"/>
        <v>0</v>
      </c>
      <c r="K15" s="14">
        <f t="shared" si="5"/>
        <v>0</v>
      </c>
      <c r="M15" s="189"/>
    </row>
    <row r="16" spans="1:13" ht="14.5" x14ac:dyDescent="0.35">
      <c r="A16" s="25" t="s">
        <v>2</v>
      </c>
      <c r="B16" s="12"/>
      <c r="C16" s="13"/>
      <c r="D16" s="13"/>
      <c r="E16" s="13"/>
      <c r="F16" s="13"/>
      <c r="G16" s="13"/>
      <c r="H16" s="159"/>
      <c r="I16"/>
      <c r="J16" s="14">
        <f t="shared" si="4"/>
        <v>0</v>
      </c>
      <c r="K16" s="14">
        <f t="shared" si="5"/>
        <v>0</v>
      </c>
      <c r="M16" s="189"/>
    </row>
    <row r="17" spans="1:13" s="5" customFormat="1" ht="14.5" x14ac:dyDescent="0.35">
      <c r="A17" s="21" t="s">
        <v>195</v>
      </c>
      <c r="B17" s="153"/>
      <c r="C17" s="23">
        <f>SUM(C18:C25)</f>
        <v>5429.8486666666677</v>
      </c>
      <c r="D17" s="23">
        <f t="shared" ref="D17:G17" si="6">SUM(D18:D25)</f>
        <v>7135.378055555555</v>
      </c>
      <c r="E17" s="23">
        <f t="shared" si="6"/>
        <v>14910.649185185184</v>
      </c>
      <c r="F17" s="23">
        <f t="shared" si="6"/>
        <v>8016.0995617283952</v>
      </c>
      <c r="G17" s="23">
        <f t="shared" si="6"/>
        <v>6675.3961872427981</v>
      </c>
      <c r="H17" s="179">
        <f>SUM(H18:H25)</f>
        <v>6228.4950624142657</v>
      </c>
      <c r="I17"/>
      <c r="J17" s="24">
        <f t="shared" si="4"/>
        <v>8065.9777864654761</v>
      </c>
      <c r="K17" s="24">
        <f t="shared" si="5"/>
        <v>48395.866718792859</v>
      </c>
      <c r="M17" s="190"/>
    </row>
    <row r="18" spans="1:13" ht="14.5" x14ac:dyDescent="0.35">
      <c r="A18" s="25" t="s">
        <v>3</v>
      </c>
      <c r="B18" s="12"/>
      <c r="C18" s="253"/>
      <c r="D18" s="13"/>
      <c r="E18" s="13"/>
      <c r="F18" s="13"/>
      <c r="G18" s="13"/>
      <c r="H18" s="159"/>
      <c r="I18"/>
      <c r="J18" s="14">
        <f t="shared" si="4"/>
        <v>0</v>
      </c>
      <c r="K18" s="14">
        <f t="shared" si="5"/>
        <v>0</v>
      </c>
      <c r="M18" s="189" t="s">
        <v>303</v>
      </c>
    </row>
    <row r="19" spans="1:13" ht="14.5" x14ac:dyDescent="0.35">
      <c r="A19" s="25" t="s">
        <v>162</v>
      </c>
      <c r="B19" s="12"/>
      <c r="C19" s="253"/>
      <c r="D19" s="13"/>
      <c r="E19" s="13"/>
      <c r="F19" s="13"/>
      <c r="G19" s="13"/>
      <c r="H19" s="159"/>
      <c r="I19"/>
      <c r="J19" s="14">
        <f t="shared" si="4"/>
        <v>0</v>
      </c>
      <c r="K19" s="14">
        <f t="shared" si="5"/>
        <v>0</v>
      </c>
      <c r="M19" s="189"/>
    </row>
    <row r="20" spans="1:13" ht="14.5" x14ac:dyDescent="0.35">
      <c r="A20" s="25" t="s">
        <v>4</v>
      </c>
      <c r="B20" s="12"/>
      <c r="C20" s="253">
        <v>127.83333333333336</v>
      </c>
      <c r="D20" s="253">
        <v>167.98611111111111</v>
      </c>
      <c r="E20" s="253">
        <v>351.03703703703707</v>
      </c>
      <c r="F20" s="253">
        <v>188.7206790123457</v>
      </c>
      <c r="G20" s="253">
        <v>157.15689300411523</v>
      </c>
      <c r="H20" s="159">
        <v>146.63563100137173</v>
      </c>
      <c r="I20"/>
      <c r="J20" s="14">
        <f t="shared" si="4"/>
        <v>189.89494741655236</v>
      </c>
      <c r="K20" s="14">
        <f t="shared" si="5"/>
        <v>1139.3696844993142</v>
      </c>
      <c r="M20" s="189" t="s">
        <v>304</v>
      </c>
    </row>
    <row r="21" spans="1:13" ht="14.5" x14ac:dyDescent="0.35">
      <c r="A21" s="25" t="s">
        <v>5</v>
      </c>
      <c r="B21" s="12"/>
      <c r="C21" s="253">
        <v>78.617500000000007</v>
      </c>
      <c r="D21" s="13">
        <v>103.31145833333333</v>
      </c>
      <c r="E21" s="13">
        <v>215.88777777777776</v>
      </c>
      <c r="F21" s="13">
        <v>116.06321759259259</v>
      </c>
      <c r="G21" s="13">
        <v>96.65148919753085</v>
      </c>
      <c r="H21" s="159">
        <v>90.180913065843612</v>
      </c>
      <c r="I21"/>
      <c r="J21" s="14">
        <f t="shared" si="4"/>
        <v>116.78539266117969</v>
      </c>
      <c r="K21" s="14">
        <f t="shared" si="5"/>
        <v>700.71235596707811</v>
      </c>
      <c r="M21" s="189"/>
    </row>
    <row r="22" spans="1:13" ht="14.5" x14ac:dyDescent="0.35">
      <c r="A22" s="25" t="s">
        <v>172</v>
      </c>
      <c r="B22" s="12"/>
      <c r="C22" s="253">
        <v>3933.3333333333335</v>
      </c>
      <c r="D22" s="13">
        <v>5244.4444444444443</v>
      </c>
      <c r="E22" s="13">
        <v>5681.4814814814818</v>
      </c>
      <c r="F22" s="13">
        <v>1893.827160493827</v>
      </c>
      <c r="G22" s="13">
        <v>631.27572016460908</v>
      </c>
      <c r="H22" s="159">
        <v>210.42524005486968</v>
      </c>
      <c r="I22"/>
      <c r="J22" s="14">
        <f t="shared" si="4"/>
        <v>2932.4645633287605</v>
      </c>
      <c r="K22" s="14">
        <f t="shared" si="5"/>
        <v>17594.787379972564</v>
      </c>
      <c r="M22" s="189"/>
    </row>
    <row r="23" spans="1:13" ht="14.5" x14ac:dyDescent="0.35">
      <c r="A23" s="25" t="s">
        <v>178</v>
      </c>
      <c r="B23" s="12"/>
      <c r="C23" s="253"/>
      <c r="D23" s="13"/>
      <c r="E23" s="13"/>
      <c r="F23" s="13"/>
      <c r="G23" s="13"/>
      <c r="H23" s="159"/>
      <c r="I23"/>
      <c r="J23" s="14">
        <f t="shared" si="4"/>
        <v>0</v>
      </c>
      <c r="K23" s="14">
        <f t="shared" si="5"/>
        <v>0</v>
      </c>
      <c r="M23" s="189"/>
    </row>
    <row r="24" spans="1:13" s="5" customFormat="1" ht="14.5" x14ac:dyDescent="0.35">
      <c r="A24" s="25" t="s">
        <v>6</v>
      </c>
      <c r="B24" s="12"/>
      <c r="C24" s="253">
        <v>1180</v>
      </c>
      <c r="D24" s="13">
        <v>1475</v>
      </c>
      <c r="E24" s="13">
        <v>8360</v>
      </c>
      <c r="F24" s="13">
        <v>5655</v>
      </c>
      <c r="G24" s="13">
        <v>5655</v>
      </c>
      <c r="H24" s="159">
        <v>5655</v>
      </c>
      <c r="I24"/>
      <c r="J24" s="14">
        <f t="shared" si="4"/>
        <v>4663.333333333333</v>
      </c>
      <c r="K24" s="14">
        <f t="shared" si="5"/>
        <v>27980</v>
      </c>
      <c r="M24" s="189" t="s">
        <v>301</v>
      </c>
    </row>
    <row r="25" spans="1:13" ht="14.5" x14ac:dyDescent="0.35">
      <c r="A25" s="25" t="s">
        <v>192</v>
      </c>
      <c r="B25" s="12"/>
      <c r="C25" s="253">
        <v>110.06450000000001</v>
      </c>
      <c r="D25" s="13">
        <v>144.63604166666667</v>
      </c>
      <c r="E25" s="13">
        <v>302.2428888888889</v>
      </c>
      <c r="F25" s="13">
        <v>162.48850462962963</v>
      </c>
      <c r="G25" s="13">
        <v>135.31208487654322</v>
      </c>
      <c r="H25" s="159">
        <v>126.25327829218107</v>
      </c>
      <c r="I25"/>
      <c r="J25" s="14">
        <f t="shared" si="4"/>
        <v>163.49954972565158</v>
      </c>
      <c r="K25" s="14">
        <f t="shared" si="5"/>
        <v>980.99729835390951</v>
      </c>
      <c r="M25" s="189"/>
    </row>
    <row r="26" spans="1:13" ht="14.5" x14ac:dyDescent="0.35">
      <c r="A26" s="21" t="s">
        <v>196</v>
      </c>
      <c r="B26" s="151"/>
      <c r="C26" s="23"/>
      <c r="D26" s="23"/>
      <c r="E26" s="23"/>
      <c r="F26" s="23"/>
      <c r="G26" s="23"/>
      <c r="H26" s="179"/>
      <c r="I26"/>
      <c r="J26" s="24">
        <f t="shared" si="4"/>
        <v>0</v>
      </c>
      <c r="K26" s="24">
        <f t="shared" si="5"/>
        <v>0</v>
      </c>
      <c r="M26" s="190"/>
    </row>
    <row r="27" spans="1:13" ht="14.5" x14ac:dyDescent="0.35">
      <c r="A27" s="18" t="s">
        <v>204</v>
      </c>
      <c r="B27" s="57"/>
      <c r="C27" s="19">
        <f>C13+C17+C26</f>
        <v>5429.8486666666677</v>
      </c>
      <c r="D27" s="19">
        <f t="shared" ref="D27:H27" si="7">D13+D17+D26</f>
        <v>7135.378055555555</v>
      </c>
      <c r="E27" s="19">
        <f t="shared" si="7"/>
        <v>14910.649185185184</v>
      </c>
      <c r="F27" s="19">
        <f t="shared" si="7"/>
        <v>8016.0995617283952</v>
      </c>
      <c r="G27" s="19">
        <f t="shared" si="7"/>
        <v>6675.3961872427981</v>
      </c>
      <c r="H27" s="35">
        <f t="shared" si="7"/>
        <v>6228.4950624142657</v>
      </c>
      <c r="I27"/>
      <c r="J27" s="20">
        <f t="shared" si="4"/>
        <v>8065.9777864654761</v>
      </c>
      <c r="K27" s="20">
        <f t="shared" si="5"/>
        <v>48395.866718792859</v>
      </c>
      <c r="M27" s="190"/>
    </row>
    <row r="28" spans="1:13" ht="14.5" x14ac:dyDescent="0.35">
      <c r="B28" s="30"/>
      <c r="C28" s="2"/>
      <c r="D28" s="2"/>
      <c r="E28" s="2"/>
      <c r="F28" s="2"/>
      <c r="G28" s="2"/>
      <c r="H28" s="2"/>
      <c r="I28"/>
      <c r="J28" s="2"/>
      <c r="K28" s="2"/>
      <c r="M28" s="11"/>
    </row>
    <row r="29" spans="1:13" ht="14.5" x14ac:dyDescent="0.35">
      <c r="A29" s="111" t="s">
        <v>198</v>
      </c>
      <c r="B29" s="112"/>
      <c r="C29" s="238">
        <f>C25/C27</f>
        <v>2.0270270270270268E-2</v>
      </c>
      <c r="D29" s="238">
        <f t="shared" ref="D29:H29" si="8">D25/D27</f>
        <v>2.0270270270270271E-2</v>
      </c>
      <c r="E29" s="238">
        <f t="shared" si="8"/>
        <v>2.0270270270270271E-2</v>
      </c>
      <c r="F29" s="238">
        <f t="shared" si="8"/>
        <v>2.0270270270270271E-2</v>
      </c>
      <c r="G29" s="238">
        <f t="shared" si="8"/>
        <v>2.0270270270270275E-2</v>
      </c>
      <c r="H29" s="239">
        <f t="shared" si="8"/>
        <v>2.0270270270270271E-2</v>
      </c>
      <c r="I29" s="242"/>
      <c r="J29" s="243">
        <f t="shared" ref="J29:K29" si="9">J25/J27</f>
        <v>2.0270270270270275E-2</v>
      </c>
      <c r="K29" s="238">
        <f t="shared" si="9"/>
        <v>2.0270270270270275E-2</v>
      </c>
    </row>
    <row r="30" spans="1:13" ht="14.5" x14ac:dyDescent="0.35">
      <c r="I30"/>
    </row>
    <row r="31" spans="1:13" ht="14.5" x14ac:dyDescent="0.35">
      <c r="I31"/>
    </row>
    <row r="32" spans="1:13" ht="14.5" x14ac:dyDescent="0.35">
      <c r="I32"/>
    </row>
    <row r="33" spans="9:9" ht="14.5" x14ac:dyDescent="0.35">
      <c r="I33"/>
    </row>
  </sheetData>
  <mergeCells count="7">
    <mergeCell ref="A1:K1"/>
    <mergeCell ref="A4:A5"/>
    <mergeCell ref="B4:B5"/>
    <mergeCell ref="M4:M5"/>
    <mergeCell ref="A11:A12"/>
    <mergeCell ref="B11:B12"/>
    <mergeCell ref="M11:M12"/>
  </mergeCells>
  <printOptions horizontalCentered="1"/>
  <pageMargins left="0.70866141732283472" right="0.70866141732283472" top="0.74803149606299213" bottom="0.74803149606299213" header="0.31496062992125984" footer="0.31496062992125984"/>
  <pageSetup paperSize="9" scale="63" orientation="landscape" r:id="rId1"/>
  <headerFooter>
    <oddHeader>&amp;L&amp;F&amp;R&amp;A</oddHeader>
    <oddFooter>&amp;L&amp;D&amp;C&amp;P/&amp;N&amp;R&amp;T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7" tint="0.59999389629810485"/>
    <pageSetUpPr fitToPage="1"/>
  </sheetPr>
  <dimension ref="A1:I40"/>
  <sheetViews>
    <sheetView showGridLines="0" zoomScale="85" zoomScaleNormal="85" workbookViewId="0">
      <selection sqref="A1:H1"/>
    </sheetView>
  </sheetViews>
  <sheetFormatPr baseColWidth="10" defaultColWidth="11.26953125" defaultRowHeight="13" x14ac:dyDescent="0.3"/>
  <cols>
    <col min="1" max="1" width="42.453125" style="2" customWidth="1"/>
    <col min="2" max="8" width="12.453125" style="2" customWidth="1"/>
    <col min="9" max="16384" width="11.26953125" style="2"/>
  </cols>
  <sheetData>
    <row r="1" spans="1:9" ht="30" customHeight="1" x14ac:dyDescent="0.3">
      <c r="A1" s="658" t="s">
        <v>312</v>
      </c>
      <c r="B1" s="664"/>
      <c r="C1" s="664"/>
      <c r="D1" s="664"/>
      <c r="E1" s="664"/>
      <c r="F1" s="664"/>
      <c r="G1" s="664"/>
      <c r="H1" s="665"/>
      <c r="I1" s="1"/>
    </row>
    <row r="2" spans="1:9" x14ac:dyDescent="0.3">
      <c r="B2" s="28"/>
      <c r="C2" s="28"/>
      <c r="D2" s="28"/>
      <c r="E2" s="28"/>
      <c r="F2" s="28"/>
      <c r="G2" s="28"/>
      <c r="H2" s="28"/>
    </row>
    <row r="3" spans="1:9" ht="13.15" customHeight="1" x14ac:dyDescent="0.3">
      <c r="A3" s="120" t="s">
        <v>223</v>
      </c>
      <c r="B3" s="3">
        <v>2017</v>
      </c>
      <c r="C3" s="3">
        <v>2018</v>
      </c>
      <c r="D3" s="3">
        <v>2019</v>
      </c>
      <c r="E3" s="3">
        <v>2020</v>
      </c>
      <c r="F3" s="3">
        <v>2021</v>
      </c>
      <c r="G3" s="3">
        <v>2022</v>
      </c>
      <c r="H3" s="121">
        <v>2023</v>
      </c>
    </row>
    <row r="4" spans="1:9" x14ac:dyDescent="0.3">
      <c r="A4" s="122" t="s">
        <v>224</v>
      </c>
      <c r="B4" s="124">
        <v>635920.95238095243</v>
      </c>
      <c r="C4" s="124">
        <v>864080.57142857159</v>
      </c>
      <c r="D4" s="124">
        <v>553941.19047619065</v>
      </c>
      <c r="E4" s="124">
        <v>248794.14285714302</v>
      </c>
      <c r="F4" s="124">
        <v>110404.76190476207</v>
      </c>
      <c r="G4" s="124">
        <v>87785.71428571445</v>
      </c>
      <c r="H4" s="124">
        <v>48500.00000000016</v>
      </c>
    </row>
    <row r="5" spans="1:9" s="89" customFormat="1" ht="15" customHeight="1" x14ac:dyDescent="0.35">
      <c r="A5" s="126" t="s">
        <v>225</v>
      </c>
      <c r="B5" s="128"/>
      <c r="C5" s="129"/>
      <c r="D5" s="129"/>
      <c r="E5" s="129"/>
      <c r="F5" s="129"/>
      <c r="G5" s="129"/>
      <c r="H5" s="129"/>
    </row>
    <row r="6" spans="1:9" x14ac:dyDescent="0.3">
      <c r="A6" s="130" t="s">
        <v>226</v>
      </c>
      <c r="B6" s="132"/>
      <c r="C6" s="133"/>
      <c r="D6" s="133"/>
      <c r="E6" s="133"/>
      <c r="F6" s="133"/>
      <c r="G6" s="133"/>
      <c r="H6" s="133"/>
    </row>
    <row r="7" spans="1:9" x14ac:dyDescent="0.3">
      <c r="A7" s="134" t="s">
        <v>227</v>
      </c>
      <c r="B7" s="136">
        <f>SUM(B4:B6)</f>
        <v>635920.95238095243</v>
      </c>
      <c r="C7" s="137">
        <f t="shared" ref="C7:H7" si="0">SUM(C4:C6)</f>
        <v>864080.57142857159</v>
      </c>
      <c r="D7" s="137">
        <f t="shared" si="0"/>
        <v>553941.19047619065</v>
      </c>
      <c r="E7" s="137">
        <f t="shared" si="0"/>
        <v>248794.14285714302</v>
      </c>
      <c r="F7" s="137">
        <f t="shared" si="0"/>
        <v>110404.76190476207</v>
      </c>
      <c r="G7" s="137">
        <f t="shared" si="0"/>
        <v>87785.71428571445</v>
      </c>
      <c r="H7" s="137">
        <f t="shared" si="0"/>
        <v>48500.00000000016</v>
      </c>
    </row>
    <row r="8" spans="1:9" ht="13.15" customHeight="1" x14ac:dyDescent="0.3">
      <c r="A8" s="122" t="s">
        <v>228</v>
      </c>
      <c r="B8" s="124"/>
      <c r="C8" s="125"/>
      <c r="D8" s="125"/>
      <c r="E8" s="125"/>
      <c r="F8" s="125"/>
      <c r="G8" s="125"/>
      <c r="H8" s="125"/>
    </row>
    <row r="9" spans="1:9" x14ac:dyDescent="0.3">
      <c r="A9" s="126" t="s">
        <v>251</v>
      </c>
      <c r="B9" s="128">
        <v>5159651.5210234383</v>
      </c>
      <c r="C9" s="128">
        <v>5327285.4357243674</v>
      </c>
      <c r="D9" s="128">
        <v>5860180.4317665808</v>
      </c>
      <c r="E9" s="128">
        <v>5919586.0838546604</v>
      </c>
      <c r="F9" s="128">
        <v>5925626.3833895521</v>
      </c>
      <c r="G9" s="128">
        <v>5964211.8681379138</v>
      </c>
      <c r="H9" s="128">
        <v>5929441.907525681</v>
      </c>
    </row>
    <row r="10" spans="1:9" x14ac:dyDescent="0.3">
      <c r="A10" s="126" t="s">
        <v>252</v>
      </c>
      <c r="B10" s="128"/>
      <c r="C10" s="129"/>
      <c r="D10" s="129"/>
      <c r="E10" s="129"/>
      <c r="F10" s="129"/>
      <c r="G10" s="129"/>
      <c r="H10" s="129"/>
    </row>
    <row r="11" spans="1:9" x14ac:dyDescent="0.3">
      <c r="A11" s="126" t="s">
        <v>248</v>
      </c>
      <c r="B11" s="128"/>
      <c r="C11" s="129"/>
      <c r="D11" s="129"/>
      <c r="E11" s="129"/>
      <c r="F11" s="129"/>
      <c r="G11" s="129"/>
      <c r="H11" s="129"/>
    </row>
    <row r="12" spans="1:9" x14ac:dyDescent="0.3">
      <c r="A12" s="126" t="s">
        <v>229</v>
      </c>
      <c r="B12" s="132">
        <v>1157426.1647587679</v>
      </c>
      <c r="C12" s="132">
        <v>878214.31001295149</v>
      </c>
      <c r="D12" s="132">
        <v>1249584.7387169022</v>
      </c>
      <c r="E12" s="132">
        <v>1605415.2453823937</v>
      </c>
      <c r="F12" s="132">
        <v>1760479.8650957886</v>
      </c>
      <c r="G12" s="132">
        <v>1814237.635137124</v>
      </c>
      <c r="H12" s="132">
        <v>1837635.6678165514</v>
      </c>
    </row>
    <row r="13" spans="1:9" x14ac:dyDescent="0.3">
      <c r="A13" s="134" t="s">
        <v>230</v>
      </c>
      <c r="B13" s="136">
        <f>SUM(B8:B12)</f>
        <v>6317077.6857822062</v>
      </c>
      <c r="C13" s="137">
        <f t="shared" ref="C13:H13" si="1">SUM(C8:C12)</f>
        <v>6205499.7457373189</v>
      </c>
      <c r="D13" s="137">
        <f t="shared" si="1"/>
        <v>7109765.170483483</v>
      </c>
      <c r="E13" s="137">
        <f t="shared" si="1"/>
        <v>7525001.3292370541</v>
      </c>
      <c r="F13" s="137">
        <f t="shared" si="1"/>
        <v>7686106.2484853407</v>
      </c>
      <c r="G13" s="137">
        <f t="shared" si="1"/>
        <v>7778449.5032750377</v>
      </c>
      <c r="H13" s="137">
        <f t="shared" si="1"/>
        <v>7767077.5753422324</v>
      </c>
    </row>
    <row r="14" spans="1:9" x14ac:dyDescent="0.3">
      <c r="A14" s="146" t="s">
        <v>231</v>
      </c>
      <c r="B14" s="147">
        <f>B7+B13</f>
        <v>6952998.6381631587</v>
      </c>
      <c r="C14" s="148">
        <f t="shared" ref="C14:H14" si="2">C7+C13</f>
        <v>7069580.3171658907</v>
      </c>
      <c r="D14" s="148">
        <f t="shared" si="2"/>
        <v>7663706.3609596733</v>
      </c>
      <c r="E14" s="148">
        <f t="shared" si="2"/>
        <v>7773795.4720941968</v>
      </c>
      <c r="F14" s="148">
        <f t="shared" si="2"/>
        <v>7796511.0103901029</v>
      </c>
      <c r="G14" s="148">
        <f t="shared" si="2"/>
        <v>7866235.2175607523</v>
      </c>
      <c r="H14" s="148">
        <f t="shared" si="2"/>
        <v>7815577.5753422324</v>
      </c>
    </row>
    <row r="15" spans="1:9" x14ac:dyDescent="0.3">
      <c r="B15" s="138"/>
      <c r="C15" s="138"/>
    </row>
    <row r="16" spans="1:9" x14ac:dyDescent="0.3">
      <c r="B16" s="138"/>
      <c r="C16" s="138"/>
    </row>
    <row r="17" spans="1:8" ht="13.15" customHeight="1" x14ac:dyDescent="0.3">
      <c r="A17" s="120" t="s">
        <v>232</v>
      </c>
      <c r="B17" s="120">
        <f t="shared" ref="B17:H17" si="3">B3</f>
        <v>2017</v>
      </c>
      <c r="C17" s="120">
        <f t="shared" si="3"/>
        <v>2018</v>
      </c>
      <c r="D17" s="120">
        <f t="shared" si="3"/>
        <v>2019</v>
      </c>
      <c r="E17" s="120">
        <f t="shared" si="3"/>
        <v>2020</v>
      </c>
      <c r="F17" s="120">
        <f t="shared" si="3"/>
        <v>2021</v>
      </c>
      <c r="G17" s="120">
        <f t="shared" si="3"/>
        <v>2022</v>
      </c>
      <c r="H17" s="45">
        <f t="shared" si="3"/>
        <v>2023</v>
      </c>
    </row>
    <row r="18" spans="1:8" x14ac:dyDescent="0.3">
      <c r="A18" s="139" t="s">
        <v>233</v>
      </c>
      <c r="B18" s="123">
        <v>771250.00000000012</v>
      </c>
      <c r="C18" s="123">
        <v>771250.00000000012</v>
      </c>
      <c r="D18" s="123">
        <v>771250.00000000012</v>
      </c>
      <c r="E18" s="123">
        <v>771250.00000000012</v>
      </c>
      <c r="F18" s="123">
        <v>771250.00000000012</v>
      </c>
      <c r="G18" s="123">
        <v>771250.00000000012</v>
      </c>
      <c r="H18" s="124">
        <v>771250.00000000012</v>
      </c>
    </row>
    <row r="19" spans="1:8" x14ac:dyDescent="0.3">
      <c r="A19" s="140" t="s">
        <v>234</v>
      </c>
      <c r="B19" s="127">
        <v>77125.000000000015</v>
      </c>
      <c r="C19" s="127">
        <v>77125.000000000015</v>
      </c>
      <c r="D19" s="127">
        <v>77125.000000000015</v>
      </c>
      <c r="E19" s="127">
        <v>77125.000000000015</v>
      </c>
      <c r="F19" s="127">
        <v>77125.000000000015</v>
      </c>
      <c r="G19" s="127">
        <v>77125.000000000015</v>
      </c>
      <c r="H19" s="128">
        <v>77125.000000000015</v>
      </c>
    </row>
    <row r="20" spans="1:8" x14ac:dyDescent="0.3">
      <c r="A20" s="140" t="s">
        <v>235</v>
      </c>
      <c r="B20" s="127"/>
      <c r="C20" s="127"/>
      <c r="D20" s="127"/>
      <c r="E20" s="127"/>
      <c r="F20" s="127"/>
      <c r="G20" s="127"/>
      <c r="H20" s="128"/>
    </row>
    <row r="21" spans="1:8" x14ac:dyDescent="0.3">
      <c r="A21" s="140" t="s">
        <v>236</v>
      </c>
      <c r="B21" s="127">
        <v>501672.36361741449</v>
      </c>
      <c r="C21" s="127">
        <v>517795.87121129426</v>
      </c>
      <c r="D21" s="127">
        <v>565746.62940034945</v>
      </c>
      <c r="E21" s="127">
        <v>571207.89862589166</v>
      </c>
      <c r="F21" s="127">
        <v>571331.69767502649</v>
      </c>
      <c r="G21" s="127">
        <v>574817.60395658668</v>
      </c>
      <c r="H21" s="132">
        <v>571417.5432870558</v>
      </c>
    </row>
    <row r="22" spans="1:8" x14ac:dyDescent="0.3">
      <c r="A22" s="134" t="s">
        <v>237</v>
      </c>
      <c r="B22" s="135">
        <f>SUM(B18:B21)</f>
        <v>1350047.3636174146</v>
      </c>
      <c r="C22" s="135">
        <f t="shared" ref="C22:H22" si="4">SUM(C18:C21)</f>
        <v>1366170.8712112943</v>
      </c>
      <c r="D22" s="135">
        <f t="shared" si="4"/>
        <v>1414121.6294003497</v>
      </c>
      <c r="E22" s="135">
        <f t="shared" si="4"/>
        <v>1419582.8986258917</v>
      </c>
      <c r="F22" s="135">
        <f t="shared" si="4"/>
        <v>1419706.6976750265</v>
      </c>
      <c r="G22" s="135">
        <f t="shared" si="4"/>
        <v>1423192.6039565867</v>
      </c>
      <c r="H22" s="136">
        <f t="shared" si="4"/>
        <v>1419792.543287056</v>
      </c>
    </row>
    <row r="23" spans="1:8" x14ac:dyDescent="0.3">
      <c r="A23" s="140" t="s">
        <v>238</v>
      </c>
      <c r="B23" s="127">
        <v>0</v>
      </c>
      <c r="C23" s="127">
        <v>0</v>
      </c>
      <c r="D23" s="127">
        <v>0</v>
      </c>
      <c r="E23" s="127">
        <v>0</v>
      </c>
      <c r="F23" s="127">
        <v>0</v>
      </c>
      <c r="G23" s="127">
        <v>0</v>
      </c>
      <c r="H23" s="128">
        <v>0</v>
      </c>
    </row>
    <row r="24" spans="1:8" x14ac:dyDescent="0.3">
      <c r="A24" s="134" t="s">
        <v>239</v>
      </c>
      <c r="B24" s="135">
        <f>B23</f>
        <v>0</v>
      </c>
      <c r="C24" s="135">
        <f t="shared" ref="C24:H24" si="5">C23</f>
        <v>0</v>
      </c>
      <c r="D24" s="135">
        <f t="shared" si="5"/>
        <v>0</v>
      </c>
      <c r="E24" s="135">
        <f t="shared" si="5"/>
        <v>0</v>
      </c>
      <c r="F24" s="135">
        <f t="shared" si="5"/>
        <v>0</v>
      </c>
      <c r="G24" s="135">
        <f t="shared" si="5"/>
        <v>0</v>
      </c>
      <c r="H24" s="136">
        <f t="shared" si="5"/>
        <v>0</v>
      </c>
    </row>
    <row r="25" spans="1:8" x14ac:dyDescent="0.3">
      <c r="A25" s="140" t="s">
        <v>240</v>
      </c>
      <c r="B25" s="127"/>
      <c r="C25" s="127"/>
      <c r="D25" s="127"/>
      <c r="E25" s="127"/>
      <c r="F25" s="127"/>
      <c r="G25" s="127"/>
      <c r="H25" s="128"/>
    </row>
    <row r="26" spans="1:8" x14ac:dyDescent="0.3">
      <c r="A26" s="140" t="s">
        <v>253</v>
      </c>
      <c r="B26" s="127"/>
      <c r="C26" s="127"/>
      <c r="D26" s="127"/>
      <c r="E26" s="127"/>
      <c r="F26" s="127"/>
      <c r="G26" s="127"/>
      <c r="H26" s="128"/>
    </row>
    <row r="27" spans="1:8" x14ac:dyDescent="0.3">
      <c r="A27" s="140" t="s">
        <v>254</v>
      </c>
      <c r="B27" s="131"/>
      <c r="C27" s="131"/>
      <c r="D27" s="131"/>
      <c r="E27" s="131"/>
      <c r="F27" s="131"/>
      <c r="G27" s="131"/>
      <c r="H27" s="132"/>
    </row>
    <row r="28" spans="1:8" x14ac:dyDescent="0.3">
      <c r="A28" s="134" t="s">
        <v>241</v>
      </c>
      <c r="B28" s="135">
        <f>SUM(B25:B27)</f>
        <v>0</v>
      </c>
      <c r="C28" s="135">
        <f t="shared" ref="C28:H28" si="6">SUM(C25:C27)</f>
        <v>0</v>
      </c>
      <c r="D28" s="135">
        <f t="shared" si="6"/>
        <v>0</v>
      </c>
      <c r="E28" s="135">
        <f t="shared" si="6"/>
        <v>0</v>
      </c>
      <c r="F28" s="135">
        <f t="shared" si="6"/>
        <v>0</v>
      </c>
      <c r="G28" s="135">
        <f t="shared" si="6"/>
        <v>0</v>
      </c>
      <c r="H28" s="136">
        <f t="shared" si="6"/>
        <v>0</v>
      </c>
    </row>
    <row r="29" spans="1:8" x14ac:dyDescent="0.3">
      <c r="A29" s="140" t="s">
        <v>250</v>
      </c>
      <c r="B29" s="127">
        <v>4539885.8401051806</v>
      </c>
      <c r="C29" s="127">
        <v>4578222.7358178068</v>
      </c>
      <c r="D29" s="127">
        <v>5005503.4165497664</v>
      </c>
      <c r="E29" s="127">
        <v>5110256.3063682886</v>
      </c>
      <c r="F29" s="127">
        <v>5128477.8770483295</v>
      </c>
      <c r="G29" s="127">
        <v>5193880.7011384349</v>
      </c>
      <c r="H29" s="124">
        <v>5146218.784339725</v>
      </c>
    </row>
    <row r="30" spans="1:8" x14ac:dyDescent="0.3">
      <c r="A30" s="140" t="s">
        <v>242</v>
      </c>
      <c r="B30" s="127">
        <v>1063065.4344405637</v>
      </c>
      <c r="C30" s="127">
        <v>1125186.7101367898</v>
      </c>
      <c r="D30" s="127">
        <v>1244081.3150095574</v>
      </c>
      <c r="E30" s="127">
        <v>1243956.2671000168</v>
      </c>
      <c r="F30" s="127">
        <v>1248326.4356667467</v>
      </c>
      <c r="G30" s="127">
        <v>1249161.9124657304</v>
      </c>
      <c r="H30" s="128">
        <v>1249566.2477154506</v>
      </c>
    </row>
    <row r="31" spans="1:8" x14ac:dyDescent="0.3">
      <c r="A31" s="140" t="s">
        <v>249</v>
      </c>
      <c r="B31" s="127"/>
      <c r="C31" s="127"/>
      <c r="D31" s="127"/>
      <c r="E31" s="127"/>
      <c r="F31" s="127"/>
      <c r="G31" s="127"/>
      <c r="H31" s="128"/>
    </row>
    <row r="32" spans="1:8" x14ac:dyDescent="0.3">
      <c r="A32" s="134" t="s">
        <v>243</v>
      </c>
      <c r="B32" s="135">
        <f>SUM(B29:B31)</f>
        <v>5602951.2745457441</v>
      </c>
      <c r="C32" s="135">
        <f t="shared" ref="C32:H32" si="7">SUM(C29:C31)</f>
        <v>5703409.4459545966</v>
      </c>
      <c r="D32" s="135">
        <f t="shared" si="7"/>
        <v>6249584.7315593241</v>
      </c>
      <c r="E32" s="135">
        <f t="shared" si="7"/>
        <v>6354212.5734683052</v>
      </c>
      <c r="F32" s="135">
        <f t="shared" si="7"/>
        <v>6376804.3127150759</v>
      </c>
      <c r="G32" s="135">
        <f t="shared" si="7"/>
        <v>6443042.6136041656</v>
      </c>
      <c r="H32" s="136">
        <f t="shared" si="7"/>
        <v>6395785.0320551759</v>
      </c>
    </row>
    <row r="33" spans="1:8" x14ac:dyDescent="0.3">
      <c r="A33" s="149" t="s">
        <v>244</v>
      </c>
      <c r="B33" s="150">
        <f>B22+B24+B28+B32</f>
        <v>6952998.6381631587</v>
      </c>
      <c r="C33" s="148">
        <f t="shared" ref="C33:H33" si="8">C22+C24+C28+C32</f>
        <v>7069580.3171658907</v>
      </c>
      <c r="D33" s="148">
        <f t="shared" si="8"/>
        <v>7663706.3609596733</v>
      </c>
      <c r="E33" s="148">
        <f t="shared" si="8"/>
        <v>7773795.4720941968</v>
      </c>
      <c r="F33" s="148">
        <f t="shared" si="8"/>
        <v>7796511.0103901029</v>
      </c>
      <c r="G33" s="148">
        <f t="shared" si="8"/>
        <v>7866235.2175607523</v>
      </c>
      <c r="H33" s="148">
        <f t="shared" si="8"/>
        <v>7815577.5753422324</v>
      </c>
    </row>
    <row r="34" spans="1:8" x14ac:dyDescent="0.3">
      <c r="A34" s="141"/>
      <c r="B34" s="142"/>
      <c r="C34" s="142"/>
    </row>
    <row r="35" spans="1:8" x14ac:dyDescent="0.3">
      <c r="A35" s="141"/>
      <c r="B35" s="142"/>
      <c r="C35" s="142"/>
      <c r="D35" s="142"/>
      <c r="E35" s="142"/>
      <c r="F35" s="142"/>
      <c r="G35" s="142"/>
      <c r="H35" s="142"/>
    </row>
    <row r="36" spans="1:8" x14ac:dyDescent="0.3">
      <c r="A36" s="143" t="s">
        <v>245</v>
      </c>
      <c r="B36" s="173">
        <f>B22-B7</f>
        <v>714126.41123646218</v>
      </c>
      <c r="C36" s="173">
        <f t="shared" ref="C36:H36" si="9">C22-C7</f>
        <v>502090.29978272272</v>
      </c>
      <c r="D36" s="173">
        <f t="shared" si="9"/>
        <v>860180.43892415904</v>
      </c>
      <c r="E36" s="173">
        <f t="shared" si="9"/>
        <v>1170788.7557687487</v>
      </c>
      <c r="F36" s="173">
        <f t="shared" si="9"/>
        <v>1309301.9357702644</v>
      </c>
      <c r="G36" s="173">
        <f t="shared" si="9"/>
        <v>1335406.8896708721</v>
      </c>
      <c r="H36" s="173">
        <f t="shared" si="9"/>
        <v>1371292.5432870558</v>
      </c>
    </row>
    <row r="37" spans="1:8" x14ac:dyDescent="0.3">
      <c r="A37" s="144" t="s">
        <v>246</v>
      </c>
      <c r="B37" s="174">
        <f>B9-B32</f>
        <v>-443299.75352230575</v>
      </c>
      <c r="C37" s="174">
        <f t="shared" ref="C37:H37" si="10">C9-C32</f>
        <v>-376124.01023022924</v>
      </c>
      <c r="D37" s="174">
        <f t="shared" si="10"/>
        <v>-389404.29979274329</v>
      </c>
      <c r="E37" s="174">
        <f t="shared" si="10"/>
        <v>-434626.48961364478</v>
      </c>
      <c r="F37" s="174">
        <f t="shared" si="10"/>
        <v>-451177.92932552379</v>
      </c>
      <c r="G37" s="174">
        <f t="shared" si="10"/>
        <v>-478830.74546625186</v>
      </c>
      <c r="H37" s="174">
        <f t="shared" si="10"/>
        <v>-466343.1245294949</v>
      </c>
    </row>
    <row r="38" spans="1:8" x14ac:dyDescent="0.3">
      <c r="A38" s="145" t="s">
        <v>247</v>
      </c>
      <c r="B38" s="175">
        <f>B12</f>
        <v>1157426.1647587679</v>
      </c>
      <c r="C38" s="175">
        <f t="shared" ref="C38:H38" si="11">C12</f>
        <v>878214.31001295149</v>
      </c>
      <c r="D38" s="175">
        <f t="shared" si="11"/>
        <v>1249584.7387169022</v>
      </c>
      <c r="E38" s="175">
        <f t="shared" si="11"/>
        <v>1605415.2453823937</v>
      </c>
      <c r="F38" s="175">
        <f t="shared" si="11"/>
        <v>1760479.8650957886</v>
      </c>
      <c r="G38" s="175">
        <f t="shared" si="11"/>
        <v>1814237.635137124</v>
      </c>
      <c r="H38" s="175">
        <f t="shared" si="11"/>
        <v>1837635.6678165514</v>
      </c>
    </row>
    <row r="40" spans="1:8" x14ac:dyDescent="0.3">
      <c r="B40" s="11"/>
      <c r="C40" s="11"/>
      <c r="D40" s="11"/>
      <c r="E40" s="11"/>
      <c r="F40" s="11"/>
      <c r="G40" s="11"/>
      <c r="H40" s="11"/>
    </row>
  </sheetData>
  <sheetProtection selectLockedCells="1" selectUnlockedCells="1"/>
  <mergeCells count="1">
    <mergeCell ref="A1:H1"/>
  </mergeCells>
  <conditionalFormatting sqref="A34:C34">
    <cfRule type="cellIs" dxfId="0" priority="1" stopIfTrue="1" operator="notEqual">
      <formula>0</formula>
    </cfRule>
  </conditionalFormatting>
  <printOptions horizontalCentered="1"/>
  <pageMargins left="0.70866141732283472" right="0.70866141732283472" top="0.74803149606299213" bottom="0.74803149606299213" header="0.31496062992125984" footer="0.31496062992125984"/>
  <pageSetup paperSize="9" scale="89" firstPageNumber="0" orientation="landscape" r:id="rId1"/>
  <headerFooter>
    <oddHeader>&amp;L&amp;F&amp;R&amp;A</oddHeader>
    <oddFooter>&amp;L&amp;D&amp;C&amp;P/&amp;N&amp;R&amp;T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F7DD70F7727C44B6CF4897B3467668" ma:contentTypeVersion="13" ma:contentTypeDescription="Create a new document." ma:contentTypeScope="" ma:versionID="ed4f310fdee7bd5e365254b42fa8b72e">
  <xsd:schema xmlns:xsd="http://www.w3.org/2001/XMLSchema" xmlns:xs="http://www.w3.org/2001/XMLSchema" xmlns:p="http://schemas.microsoft.com/office/2006/metadata/properties" xmlns:ns2="6e789619-a42c-4a65-9ae1-41df945f2e0b" xmlns:ns3="85de1aff-d11c-48fe-b169-f2dd093fdc27" targetNamespace="http://schemas.microsoft.com/office/2006/metadata/properties" ma:root="true" ma:fieldsID="64121bdcb1865014934be7f4356c094e" ns2:_="" ns3:_="">
    <xsd:import namespace="6e789619-a42c-4a65-9ae1-41df945f2e0b"/>
    <xsd:import namespace="85de1aff-d11c-48fe-b169-f2dd093fdc2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789619-a42c-4a65-9ae1-41df945f2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49a2378-73c7-4e4c-bff8-b85a2f404b8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de1aff-d11c-48fe-b169-f2dd093fdc2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8e7567c-4b14-41f5-b1f3-d6fb615cb582}" ma:internalName="TaxCatchAll" ma:showField="CatchAllData" ma:web="85de1aff-d11c-48fe-b169-f2dd093fdc2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e789619-a42c-4a65-9ae1-41df945f2e0b">
      <Terms xmlns="http://schemas.microsoft.com/office/infopath/2007/PartnerControls"/>
    </lcf76f155ced4ddcb4097134ff3c332f>
    <TaxCatchAll xmlns="85de1aff-d11c-48fe-b169-f2dd093fdc27" xsi:nil="true"/>
  </documentManagement>
</p:properties>
</file>

<file path=customXml/item4.xml><?xml version="1.0" encoding="utf-8"?>
<SyracuseOfficeCustomData>{"createMode":"plain_doc","forceRefresh":"0"}</SyracuseOfficeCustomData>
</file>

<file path=customXml/itemProps1.xml><?xml version="1.0" encoding="utf-8"?>
<ds:datastoreItem xmlns:ds="http://schemas.openxmlformats.org/officeDocument/2006/customXml" ds:itemID="{5DE55519-F325-4CC8-9E96-CDA73071B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789619-a42c-4a65-9ae1-41df945f2e0b"/>
    <ds:schemaRef ds:uri="85de1aff-d11c-48fe-b169-f2dd093fdc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552F1E-4C87-4231-A74C-D5DED3BCD1AF}">
  <ds:schemaRefs>
    <ds:schemaRef ds:uri="http://schemas.microsoft.com/sharepoint/v3/contenttype/forms"/>
  </ds:schemaRefs>
</ds:datastoreItem>
</file>

<file path=customXml/itemProps3.xml><?xml version="1.0" encoding="utf-8"?>
<ds:datastoreItem xmlns:ds="http://schemas.openxmlformats.org/officeDocument/2006/customXml" ds:itemID="{105D0A6C-BB62-4C09-9047-64E79AAC2C60}">
  <ds:schemaRefs>
    <ds:schemaRef ds:uri="http://purl.org/dc/dcmitype/"/>
    <ds:schemaRef ds:uri="http://purl.org/dc/elements/1.1/"/>
    <ds:schemaRef ds:uri="http://schemas.microsoft.com/office/infopath/2007/PartnerControls"/>
    <ds:schemaRef ds:uri="http://schemas.microsoft.com/office/2006/documentManagement/types"/>
    <ds:schemaRef ds:uri="6e789619-a42c-4a65-9ae1-41df945f2e0b"/>
    <ds:schemaRef ds:uri="http://purl.org/dc/terms/"/>
    <ds:schemaRef ds:uri="http://www.w3.org/XML/1998/namespace"/>
    <ds:schemaRef ds:uri="85de1aff-d11c-48fe-b169-f2dd093fdc27"/>
    <ds:schemaRef ds:uri="http://schemas.microsoft.com/office/2006/metadata/properties"/>
    <ds:schemaRef ds:uri="http://schemas.openxmlformats.org/package/2006/metadata/core-properties"/>
  </ds:schemaRefs>
</ds:datastoreItem>
</file>

<file path=customXml/itemProps4.xml><?xml version="1.0" encoding="utf-8"?>
<ds:datastoreItem xmlns:ds="http://schemas.openxmlformats.org/officeDocument/2006/customXml" ds:itemID="{932DC14E-E763-4E17-92C8-5D45102644B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28</vt:i4>
      </vt:variant>
      <vt:variant>
        <vt:lpstr>Plages nommées</vt:lpstr>
      </vt:variant>
      <vt:variant>
        <vt:i4>47</vt:i4>
      </vt:variant>
    </vt:vector>
  </HeadingPairs>
  <TitlesOfParts>
    <vt:vector size="75" baseType="lpstr">
      <vt:lpstr>Notice</vt:lpstr>
      <vt:lpstr>2. CEP offre de base</vt:lpstr>
      <vt:lpstr>CEP_OFINT2</vt:lpstr>
      <vt:lpstr>CEP_OFINT1</vt:lpstr>
      <vt:lpstr>CEP_OF1B</vt:lpstr>
      <vt:lpstr>3.Recettes</vt:lpstr>
      <vt:lpstr>12. CEPTC1 service vélo Bethune</vt:lpstr>
      <vt:lpstr>14. CEPTC3 Gestion abris vélos</vt:lpstr>
      <vt:lpstr>4.Charges variables</vt:lpstr>
      <vt:lpstr>4a</vt:lpstr>
      <vt:lpstr>10. CEP option Allobus</vt:lpstr>
      <vt:lpstr>11. CEP option Proxibus</vt:lpstr>
      <vt:lpstr>4b</vt:lpstr>
      <vt:lpstr>4c</vt:lpstr>
      <vt:lpstr>4d</vt:lpstr>
      <vt:lpstr>5.Charges fixes</vt:lpstr>
      <vt:lpstr>5a</vt:lpstr>
      <vt:lpstr>5b</vt:lpstr>
      <vt:lpstr>5c</vt:lpstr>
      <vt:lpstr>6. SousTraitance</vt:lpstr>
      <vt:lpstr>5a.</vt:lpstr>
      <vt:lpstr>5b.</vt:lpstr>
      <vt:lpstr>7.CEP en format SIG</vt:lpstr>
      <vt:lpstr>8.2 Option 6.2.1 Emports</vt:lpstr>
      <vt:lpstr>8.2 Option 6.2.2 Captain Bike R</vt:lpstr>
      <vt:lpstr>8.2 Option 6.2.2Captain BikeD3 </vt:lpstr>
      <vt:lpstr>8.2 Option 6.2.3 Trottinette</vt:lpstr>
      <vt:lpstr>9. Bilan prévisionnel</vt:lpstr>
      <vt:lpstr>CEP_OF1B!Annee0</vt:lpstr>
      <vt:lpstr>CEP_OFINT1!Annee0</vt:lpstr>
      <vt:lpstr>CEP_OFINT2!Annee0</vt:lpstr>
      <vt:lpstr>Annee0</vt:lpstr>
      <vt:lpstr>CEP_OF1B!Annee1</vt:lpstr>
      <vt:lpstr>CEP_OFINT1!Annee1</vt:lpstr>
      <vt:lpstr>CEP_OFINT2!Annee1</vt:lpstr>
      <vt:lpstr>Annee1</vt:lpstr>
      <vt:lpstr>CEP_OF1B!Annee2</vt:lpstr>
      <vt:lpstr>CEP_OFINT1!Annee2</vt:lpstr>
      <vt:lpstr>CEP_OFINT2!Annee2</vt:lpstr>
      <vt:lpstr>Annee2</vt:lpstr>
      <vt:lpstr>CEP_OF1B!Annee3</vt:lpstr>
      <vt:lpstr>CEP_OFINT1!Annee3</vt:lpstr>
      <vt:lpstr>CEP_OFINT2!Annee3</vt:lpstr>
      <vt:lpstr>Annee3</vt:lpstr>
      <vt:lpstr>CEP_OF1B!Annee4</vt:lpstr>
      <vt:lpstr>CEP_OFINT1!Annee4</vt:lpstr>
      <vt:lpstr>CEP_OFINT2!Annee4</vt:lpstr>
      <vt:lpstr>Annee4</vt:lpstr>
      <vt:lpstr>'10. CEP option Allobus'!Zone_d_impression</vt:lpstr>
      <vt:lpstr>'11. CEP option Proxibus'!Zone_d_impression</vt:lpstr>
      <vt:lpstr>'12. CEPTC1 service vélo Bethune'!Zone_d_impression</vt:lpstr>
      <vt:lpstr>'14. CEPTC3 Gestion abris vélos'!Zone_d_impression</vt:lpstr>
      <vt:lpstr>'2. CEP offre de base'!Zone_d_impression</vt:lpstr>
      <vt:lpstr>'3.Recettes'!Zone_d_impression</vt:lpstr>
      <vt:lpstr>'4.Charges variables'!Zone_d_impression</vt:lpstr>
      <vt:lpstr>'4a'!Zone_d_impression</vt:lpstr>
      <vt:lpstr>'4b'!Zone_d_impression</vt:lpstr>
      <vt:lpstr>'4c'!Zone_d_impression</vt:lpstr>
      <vt:lpstr>'4d'!Zone_d_impression</vt:lpstr>
      <vt:lpstr>'5.Charges fixes'!Zone_d_impression</vt:lpstr>
      <vt:lpstr>'5a'!Zone_d_impression</vt:lpstr>
      <vt:lpstr>'5a.'!Zone_d_impression</vt:lpstr>
      <vt:lpstr>'5b'!Zone_d_impression</vt:lpstr>
      <vt:lpstr>'5b.'!Zone_d_impression</vt:lpstr>
      <vt:lpstr>'5c'!Zone_d_impression</vt:lpstr>
      <vt:lpstr>'6. SousTraitance'!Zone_d_impression</vt:lpstr>
      <vt:lpstr>'7.CEP en format SIG'!Zone_d_impression</vt:lpstr>
      <vt:lpstr>'8.2 Option 6.2.1 Emports'!Zone_d_impression</vt:lpstr>
      <vt:lpstr>'8.2 Option 6.2.2 Captain Bike R'!Zone_d_impression</vt:lpstr>
      <vt:lpstr>'8.2 Option 6.2.2Captain BikeD3 '!Zone_d_impression</vt:lpstr>
      <vt:lpstr>'8.2 Option 6.2.3 Trottinette'!Zone_d_impression</vt:lpstr>
      <vt:lpstr>'9. Bilan prévisionnel'!Zone_d_impression</vt:lpstr>
      <vt:lpstr>CEP_OF1B!Zone_d_impression</vt:lpstr>
      <vt:lpstr>CEP_OFINT1!Zone_d_impression</vt:lpstr>
      <vt:lpstr>CEP_OFINT2!Zone_d_impression</vt:lpstr>
    </vt:vector>
  </TitlesOfParts>
  <Company>tadao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FCL</dc:creator>
  <cp:lastModifiedBy>RAGOUSSI, Christophe</cp:lastModifiedBy>
  <cp:lastPrinted>2023-09-07T10:27:37Z</cp:lastPrinted>
  <dcterms:created xsi:type="dcterms:W3CDTF">2010-06-11T10:05:58Z</dcterms:created>
  <dcterms:modified xsi:type="dcterms:W3CDTF">2023-09-08T08:42:12Z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0x0101007AF7DD70F7727C44B6CF4897B3467668</vt:lpwstr>
  </property>
  <property fmtid="{D5CDD505-2E9C-101B-9397-08002B2CF9AE}" pid="3" name="MediaServiceImageTags">
    <vt:lpwstr/>
  </property>
</Properties>
</file>