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X:\00 ADMINISTRATIF\INSTANCES_AM62\2023\00_Conseils\04_12_octobre_2023\DSP\Nouveau dossier\"/>
    </mc:Choice>
  </mc:AlternateContent>
  <xr:revisionPtr revIDLastSave="0" documentId="13_ncr:1_{B0858B4B-E04F-45FC-91D2-781946C54AB0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Notice" sheetId="35" r:id="rId1"/>
    <sheet name="1.Evolution Couts" sheetId="36" r:id="rId2"/>
    <sheet name="2. CEP offre de base" sheetId="1" r:id="rId3"/>
    <sheet name="CEP_OFINT2" sheetId="61" r:id="rId4"/>
    <sheet name="Evolutions_OFINT2" sheetId="62" r:id="rId5"/>
    <sheet name="CEP_OFINT1" sheetId="55" r:id="rId6"/>
    <sheet name="Evolutions_OFINT1" sheetId="64" r:id="rId7"/>
    <sheet name="CEP_OF1B" sheetId="49" r:id="rId8"/>
    <sheet name="Evolutions_OF1B" sheetId="65" r:id="rId9"/>
    <sheet name="3.Recettes" sheetId="18" r:id="rId10"/>
    <sheet name="12. CEPTC1 service vélo Bethune" sheetId="21" state="hidden" r:id="rId11"/>
    <sheet name="14. CEPTC3 Gestion abris vélos" sheetId="23" state="hidden" r:id="rId12"/>
    <sheet name="4.Charges variables" sheetId="5" r:id="rId13"/>
    <sheet name="4a" sheetId="6" r:id="rId14"/>
    <sheet name="4b" sheetId="34" r:id="rId15"/>
    <sheet name="10. CEP option Allobus" sheetId="15" state="hidden" r:id="rId16"/>
    <sheet name="11. CEP option Proxibus" sheetId="16" state="hidden" r:id="rId17"/>
    <sheet name="4c" sheetId="9" r:id="rId18"/>
    <sheet name="4d" sheetId="32" r:id="rId19"/>
    <sheet name="5.Charges fixes" sheetId="10" r:id="rId20"/>
    <sheet name="5a" sheetId="11" r:id="rId21"/>
    <sheet name="5b" sheetId="26" r:id="rId22"/>
    <sheet name="5c" sheetId="27" r:id="rId23"/>
    <sheet name="6. SousTraitance" sheetId="13" r:id="rId24"/>
    <sheet name="5a." sheetId="28" state="hidden" r:id="rId25"/>
    <sheet name="5b." sheetId="31" state="hidden" r:id="rId26"/>
    <sheet name="7.CEP en format SIG" sheetId="19" r:id="rId27"/>
    <sheet name="8.2 Option 6.2.1 Emports" sheetId="44" r:id="rId28"/>
    <sheet name="8.2 Option 6.2.2 Captain Bike R" sheetId="45" r:id="rId29"/>
    <sheet name="8.2 Option 6.2.2Captain BikeD3 " sheetId="46" r:id="rId30"/>
    <sheet name="8.2 Option 6.2.3 Trottinette" sheetId="47" r:id="rId31"/>
    <sheet name="9. Bilan prévisionnel" sheetId="29" r:id="rId32"/>
  </sheets>
  <definedNames>
    <definedName name="_12._CEP_TC_service_vélo_Bethune__A1" localSheetId="7">#REF!</definedName>
    <definedName name="_12._CEP_TC_service_vélo_Bethune__A1" localSheetId="6">#REF!</definedName>
    <definedName name="_12._CEP_TC_service_vélo_Bethune__A1">#REF!</definedName>
    <definedName name="Annee" localSheetId="7">CEP_OF1B!$C$3</definedName>
    <definedName name="Annee" localSheetId="8">Evolutions_OF1B!$C$3</definedName>
    <definedName name="Annee" localSheetId="6">Evolutions_OFINT1!$C$3</definedName>
    <definedName name="Annee" localSheetId="4">Evolutions_OFINT2!$C$3</definedName>
    <definedName name="Annee">'2. CEP offre de base'!$C$3</definedName>
    <definedName name="anscount" hidden="1">1</definedName>
    <definedName name="AS2DocOpenMode" hidden="1">"AS2DocumentEdit"</definedName>
    <definedName name="KEOLIS" localSheetId="7" hidden="1">{#N/A,#N/A,FALSE,"Aging Summary";#N/A,#N/A,FALSE,"Ratio Analysis";#N/A,#N/A,FALSE,"Test 120 Day Accts";#N/A,#N/A,FALSE,"Tickmarks"}</definedName>
    <definedName name="KEOLIS" localSheetId="8" hidden="1">{#N/A,#N/A,FALSE,"Aging Summary";#N/A,#N/A,FALSE,"Ratio Analysis";#N/A,#N/A,FALSE,"Test 120 Day Accts";#N/A,#N/A,FALSE,"Tickmarks"}</definedName>
    <definedName name="KEOLIS" localSheetId="6" hidden="1">{#N/A,#N/A,FALSE,"Aging Summary";#N/A,#N/A,FALSE,"Ratio Analysis";#N/A,#N/A,FALSE,"Test 120 Day Accts";#N/A,#N/A,FALSE,"Tickmarks"}</definedName>
    <definedName name="KEOLIS" hidden="1">{#N/A,#N/A,FALSE,"Aging Summary";#N/A,#N/A,FALSE,"Ratio Analysis";#N/A,#N/A,FALSE,"Test 120 Day Accts";#N/A,#N/A,FALSE,"Tickmarks"}</definedName>
    <definedName name="Liste_charges" localSheetId="6">#REF!</definedName>
    <definedName name="Liste_charges">#REF!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1">'1.Evolution Couts'!$A$1:$H$112</definedName>
    <definedName name="_xlnm.Print_Area" localSheetId="15">'10. CEP option Allobus'!$A$1:$P$68</definedName>
    <definedName name="_xlnm.Print_Area" localSheetId="16">'11. CEP option Proxibus'!$A$1:$P$68</definedName>
    <definedName name="_xlnm.Print_Area" localSheetId="10">'12. CEPTC1 service vélo Bethune'!$A$1:$P$29</definedName>
    <definedName name="_xlnm.Print_Area" localSheetId="11">'14. CEPTC3 Gestion abris vélos'!$A$1:$P$29</definedName>
    <definedName name="_xlnm.Print_Area" localSheetId="2">'2. CEP offre de base'!$A$1:$L$57</definedName>
    <definedName name="_xlnm.Print_Area" localSheetId="12">'4.Charges variables'!$A$1:$J$50</definedName>
    <definedName name="_xlnm.Print_Area" localSheetId="13">'4a'!$A$1:$L$480</definedName>
    <definedName name="_xlnm.Print_Area" localSheetId="14">'4b'!$A$1:$L$198</definedName>
    <definedName name="_xlnm.Print_Area" localSheetId="17">'4c'!$A$1:$L$26</definedName>
    <definedName name="_xlnm.Print_Area" localSheetId="18">'4d'!$A$1:$L$25</definedName>
    <definedName name="_xlnm.Print_Area" localSheetId="19">'5.Charges fixes'!$A$1:$L$115</definedName>
    <definedName name="_xlnm.Print_Area" localSheetId="20">'5a'!$A$1:$L$81</definedName>
    <definedName name="_xlnm.Print_Area" localSheetId="24">'5a.'!$A$1:$P$29</definedName>
    <definedName name="_xlnm.Print_Area" localSheetId="21">'5b'!$A$1:$L$62</definedName>
    <definedName name="_xlnm.Print_Area" localSheetId="25">'5b.'!$A$1:$P$29</definedName>
    <definedName name="_xlnm.Print_Area" localSheetId="22">'5c'!$A$1:$L$17</definedName>
    <definedName name="_xlnm.Print_Area" localSheetId="23">'6. SousTraitance'!$A$1:$BW$40</definedName>
    <definedName name="_xlnm.Print_Area" localSheetId="26">'7.CEP en format SIG'!$A$1:$J$56</definedName>
    <definedName name="_xlnm.Print_Area" localSheetId="27">'8.2 Option 6.2.1 Emports'!$A$1:$M$29</definedName>
    <definedName name="_xlnm.Print_Area" localSheetId="28">'8.2 Option 6.2.2 Captain Bike R'!$A$1:$M$29</definedName>
    <definedName name="_xlnm.Print_Area" localSheetId="29">'8.2 Option 6.2.2Captain BikeD3 '!$A$1:$M$29</definedName>
    <definedName name="_xlnm.Print_Area" localSheetId="30">'8.2 Option 6.2.3 Trottinette'!$A$1:$M$29</definedName>
    <definedName name="_xlnm.Print_Area" localSheetId="31">'9. Bilan prévisionnel'!$A$1:$H$38</definedName>
    <definedName name="_xlnm.Print_Area" localSheetId="7">CEP_OF1B!$A$1:$L$56</definedName>
    <definedName name="_xlnm.Print_Area" localSheetId="5">CEP_OFINT1!$A$1:$L$56</definedName>
    <definedName name="_xlnm.Print_Area" localSheetId="3">CEP_OFINT2!$A$1:$L$57</definedName>
    <definedName name="_xlnm.Print_Area" localSheetId="8">Evolutions_OF1B!$A$1:$K$38</definedName>
    <definedName name="_xlnm.Print_Area" localSheetId="6">Evolutions_OFINT1!$A$1:$K$39</definedName>
    <definedName name="_xlnm.Print_Area" localSheetId="4">Evolutions_OFINT2!$A$1:$K$40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65" l="1"/>
  <c r="I36" i="65"/>
  <c r="J35" i="65"/>
  <c r="I35" i="65"/>
  <c r="H34" i="65"/>
  <c r="G34" i="65"/>
  <c r="F34" i="65"/>
  <c r="J34" i="65" s="1"/>
  <c r="E34" i="65"/>
  <c r="D34" i="65"/>
  <c r="C34" i="65"/>
  <c r="J33" i="65"/>
  <c r="I33" i="65"/>
  <c r="J32" i="65"/>
  <c r="I32" i="65"/>
  <c r="J31" i="65"/>
  <c r="I31" i="65"/>
  <c r="J30" i="65"/>
  <c r="I30" i="65"/>
  <c r="J29" i="65"/>
  <c r="I29" i="65"/>
  <c r="J28" i="65"/>
  <c r="I28" i="65"/>
  <c r="J27" i="65"/>
  <c r="I27" i="65"/>
  <c r="J26" i="65"/>
  <c r="I26" i="65"/>
  <c r="J25" i="65"/>
  <c r="I25" i="65"/>
  <c r="J24" i="65"/>
  <c r="I24" i="65"/>
  <c r="H24" i="65"/>
  <c r="G24" i="65"/>
  <c r="G37" i="65" s="1"/>
  <c r="F24" i="65"/>
  <c r="F37" i="65" s="1"/>
  <c r="E24" i="65"/>
  <c r="E37" i="65" s="1"/>
  <c r="D24" i="65"/>
  <c r="C24" i="65"/>
  <c r="J23" i="65"/>
  <c r="I23" i="65"/>
  <c r="J22" i="65"/>
  <c r="I22" i="65"/>
  <c r="J21" i="65"/>
  <c r="I21" i="65"/>
  <c r="H20" i="65"/>
  <c r="H37" i="65" s="1"/>
  <c r="G20" i="65"/>
  <c r="F20" i="65"/>
  <c r="E20" i="65"/>
  <c r="D20" i="65"/>
  <c r="D37" i="65" s="1"/>
  <c r="C20" i="65"/>
  <c r="C37" i="65" s="1"/>
  <c r="J19" i="65"/>
  <c r="I19" i="65"/>
  <c r="C18" i="65"/>
  <c r="D18" i="65" s="1"/>
  <c r="E18" i="65" s="1"/>
  <c r="F18" i="65" s="1"/>
  <c r="G18" i="65" s="1"/>
  <c r="H18" i="65" s="1"/>
  <c r="H16" i="65"/>
  <c r="J16" i="65" s="1"/>
  <c r="G16" i="65"/>
  <c r="F16" i="65"/>
  <c r="E16" i="65"/>
  <c r="D16" i="65"/>
  <c r="C16" i="65"/>
  <c r="J15" i="65"/>
  <c r="I15" i="65"/>
  <c r="J14" i="65"/>
  <c r="I14" i="65"/>
  <c r="J13" i="65"/>
  <c r="I13" i="65"/>
  <c r="J12" i="65"/>
  <c r="I12" i="65"/>
  <c r="C11" i="65"/>
  <c r="D11" i="65" s="1"/>
  <c r="E11" i="65" s="1"/>
  <c r="F11" i="65" s="1"/>
  <c r="G11" i="65" s="1"/>
  <c r="H11" i="65" s="1"/>
  <c r="H9" i="65"/>
  <c r="G9" i="65"/>
  <c r="F9" i="65"/>
  <c r="I9" i="65" s="1"/>
  <c r="E9" i="65"/>
  <c r="D9" i="65"/>
  <c r="C9" i="65"/>
  <c r="J8" i="65"/>
  <c r="I8" i="65"/>
  <c r="J7" i="65"/>
  <c r="I7" i="65"/>
  <c r="J6" i="65"/>
  <c r="I6" i="65"/>
  <c r="J5" i="65"/>
  <c r="I5" i="65"/>
  <c r="J4" i="65"/>
  <c r="I4" i="65"/>
  <c r="D3" i="65"/>
  <c r="E3" i="65" s="1"/>
  <c r="F3" i="65" s="1"/>
  <c r="G3" i="65" s="1"/>
  <c r="H3" i="65" s="1"/>
  <c r="J37" i="65" l="1"/>
  <c r="I37" i="65"/>
  <c r="B25" i="65" s="1"/>
  <c r="J20" i="65"/>
  <c r="I34" i="65"/>
  <c r="B35" i="65" s="1"/>
  <c r="J9" i="65"/>
  <c r="I16" i="65"/>
  <c r="I20" i="65"/>
  <c r="B21" i="65" s="1"/>
  <c r="J37" i="64" l="1"/>
  <c r="I37" i="64"/>
  <c r="J36" i="64"/>
  <c r="I36" i="64"/>
  <c r="H35" i="64"/>
  <c r="G35" i="64"/>
  <c r="F35" i="64"/>
  <c r="E35" i="64"/>
  <c r="D35" i="64"/>
  <c r="C35" i="64"/>
  <c r="J35" i="64" s="1"/>
  <c r="J34" i="64"/>
  <c r="I34" i="64"/>
  <c r="J33" i="64"/>
  <c r="I33" i="64"/>
  <c r="J32" i="64"/>
  <c r="I32" i="64"/>
  <c r="J31" i="64"/>
  <c r="I31" i="64"/>
  <c r="J30" i="64"/>
  <c r="I30" i="64"/>
  <c r="J29" i="64"/>
  <c r="I29" i="64"/>
  <c r="J28" i="64"/>
  <c r="I28" i="64"/>
  <c r="J27" i="64"/>
  <c r="I27" i="64"/>
  <c r="J26" i="64"/>
  <c r="I26" i="64"/>
  <c r="H25" i="64"/>
  <c r="H38" i="64" s="1"/>
  <c r="G25" i="64"/>
  <c r="F25" i="64"/>
  <c r="F38" i="64" s="1"/>
  <c r="E25" i="64"/>
  <c r="D25" i="64"/>
  <c r="J25" i="64" s="1"/>
  <c r="C25" i="64"/>
  <c r="I25" i="64" s="1"/>
  <c r="J24" i="64"/>
  <c r="I24" i="64"/>
  <c r="J23" i="64"/>
  <c r="I23" i="64"/>
  <c r="J22" i="64"/>
  <c r="I22" i="64"/>
  <c r="H21" i="64"/>
  <c r="G21" i="64"/>
  <c r="G38" i="64" s="1"/>
  <c r="F21" i="64"/>
  <c r="E21" i="64"/>
  <c r="E38" i="64" s="1"/>
  <c r="D21" i="64"/>
  <c r="C21" i="64"/>
  <c r="C38" i="64" s="1"/>
  <c r="J20" i="64"/>
  <c r="I20" i="64"/>
  <c r="C19" i="64"/>
  <c r="D19" i="64" s="1"/>
  <c r="E19" i="64" s="1"/>
  <c r="F19" i="64" s="1"/>
  <c r="G19" i="64" s="1"/>
  <c r="H19" i="64" s="1"/>
  <c r="H17" i="64"/>
  <c r="G17" i="64"/>
  <c r="F17" i="64"/>
  <c r="E17" i="64"/>
  <c r="D17" i="64"/>
  <c r="C17" i="64"/>
  <c r="J17" i="64" s="1"/>
  <c r="J16" i="64"/>
  <c r="I16" i="64"/>
  <c r="J15" i="64"/>
  <c r="I15" i="64"/>
  <c r="J14" i="64"/>
  <c r="I14" i="64"/>
  <c r="J13" i="64"/>
  <c r="I13" i="64"/>
  <c r="C12" i="64"/>
  <c r="D12" i="64" s="1"/>
  <c r="E12" i="64" s="1"/>
  <c r="F12" i="64" s="1"/>
  <c r="G12" i="64" s="1"/>
  <c r="H12" i="64" s="1"/>
  <c r="I10" i="64"/>
  <c r="H10" i="64"/>
  <c r="G10" i="64"/>
  <c r="F10" i="64"/>
  <c r="E10" i="64"/>
  <c r="D10" i="64"/>
  <c r="C10" i="64"/>
  <c r="J10" i="64" s="1"/>
  <c r="J9" i="64"/>
  <c r="I9" i="64"/>
  <c r="J8" i="64"/>
  <c r="I8" i="64"/>
  <c r="J7" i="64"/>
  <c r="I7" i="64"/>
  <c r="J6" i="64"/>
  <c r="I6" i="64"/>
  <c r="J5" i="64"/>
  <c r="I5" i="64"/>
  <c r="J4" i="64"/>
  <c r="I4" i="64"/>
  <c r="E3" i="64"/>
  <c r="F3" i="64" s="1"/>
  <c r="G3" i="64" s="1"/>
  <c r="H3" i="64" s="1"/>
  <c r="D3" i="64"/>
  <c r="J38" i="64" l="1"/>
  <c r="I38" i="64"/>
  <c r="B26" i="64" s="1"/>
  <c r="I35" i="64"/>
  <c r="D38" i="64"/>
  <c r="I17" i="64"/>
  <c r="I21" i="64"/>
  <c r="B22" i="64" s="1"/>
  <c r="J21" i="64"/>
  <c r="B36" i="64" l="1"/>
  <c r="J20" i="62" l="1"/>
  <c r="I20" i="62"/>
  <c r="C19" i="62"/>
  <c r="D19" i="62" s="1"/>
  <c r="E19" i="62" s="1"/>
  <c r="F19" i="62" s="1"/>
  <c r="G19" i="62" s="1"/>
  <c r="H19" i="62" s="1"/>
  <c r="J13" i="62"/>
  <c r="I13" i="62"/>
  <c r="C12" i="62"/>
  <c r="D12" i="62" s="1"/>
  <c r="E12" i="62" s="1"/>
  <c r="F12" i="62" s="1"/>
  <c r="G12" i="62" s="1"/>
  <c r="H12" i="62" s="1"/>
  <c r="J4" i="62"/>
  <c r="I4" i="62"/>
  <c r="D3" i="62"/>
  <c r="E3" i="62" s="1"/>
  <c r="F3" i="62" s="1"/>
  <c r="G3" i="62" s="1"/>
  <c r="H3" i="62" s="1"/>
  <c r="J56" i="61"/>
  <c r="I56" i="61"/>
  <c r="J55" i="61"/>
  <c r="I55" i="61"/>
  <c r="J54" i="61"/>
  <c r="I54" i="61"/>
  <c r="J53" i="61"/>
  <c r="I53" i="61"/>
  <c r="J52" i="61"/>
  <c r="I52" i="61"/>
  <c r="J51" i="61"/>
  <c r="I51" i="61"/>
  <c r="J50" i="61"/>
  <c r="I50" i="61"/>
  <c r="J49" i="61"/>
  <c r="I49" i="61"/>
  <c r="J48" i="61"/>
  <c r="I48" i="61"/>
  <c r="J47" i="61"/>
  <c r="I47" i="61"/>
  <c r="J43" i="61"/>
  <c r="I43" i="61"/>
  <c r="D42" i="61"/>
  <c r="E42" i="61" s="1"/>
  <c r="F42" i="61" s="1"/>
  <c r="G42" i="61" s="1"/>
  <c r="H42" i="61" s="1"/>
  <c r="J37" i="61"/>
  <c r="I37" i="61"/>
  <c r="J36" i="61"/>
  <c r="I36" i="61"/>
  <c r="H35" i="61"/>
  <c r="G35" i="61"/>
  <c r="F35" i="61"/>
  <c r="E35" i="61"/>
  <c r="D35" i="61"/>
  <c r="C35" i="61"/>
  <c r="J34" i="61"/>
  <c r="I34" i="61"/>
  <c r="J33" i="61"/>
  <c r="I33" i="61"/>
  <c r="J32" i="61"/>
  <c r="I32" i="61"/>
  <c r="J31" i="61"/>
  <c r="I31" i="61"/>
  <c r="J30" i="61"/>
  <c r="I30" i="61"/>
  <c r="J29" i="61"/>
  <c r="I29" i="61"/>
  <c r="J28" i="61"/>
  <c r="I28" i="61"/>
  <c r="J27" i="61"/>
  <c r="I27" i="61"/>
  <c r="J26" i="61"/>
  <c r="I26" i="61"/>
  <c r="H25" i="61"/>
  <c r="G25" i="61"/>
  <c r="F25" i="61"/>
  <c r="E25" i="61"/>
  <c r="D25" i="61"/>
  <c r="C25" i="61"/>
  <c r="J24" i="61"/>
  <c r="I24" i="61"/>
  <c r="J23" i="61"/>
  <c r="I23" i="61"/>
  <c r="J22" i="61"/>
  <c r="I22" i="61"/>
  <c r="H21" i="61"/>
  <c r="G21" i="61"/>
  <c r="F21" i="61"/>
  <c r="E21" i="61"/>
  <c r="D21" i="61"/>
  <c r="C21" i="61"/>
  <c r="J20" i="61"/>
  <c r="I20" i="61"/>
  <c r="C19" i="61"/>
  <c r="D19" i="61" s="1"/>
  <c r="E19" i="61" s="1"/>
  <c r="F19" i="61" s="1"/>
  <c r="G19" i="61" s="1"/>
  <c r="H19" i="61" s="1"/>
  <c r="H17" i="61"/>
  <c r="G17" i="61"/>
  <c r="F17" i="61"/>
  <c r="E17" i="61"/>
  <c r="D17" i="61"/>
  <c r="C17" i="61"/>
  <c r="J16" i="61"/>
  <c r="I16" i="61"/>
  <c r="J15" i="61"/>
  <c r="I15" i="61"/>
  <c r="J14" i="61"/>
  <c r="I14" i="61"/>
  <c r="J13" i="61"/>
  <c r="I13" i="61"/>
  <c r="C12" i="61"/>
  <c r="D12" i="61" s="1"/>
  <c r="E12" i="61" s="1"/>
  <c r="F12" i="61" s="1"/>
  <c r="G12" i="61" s="1"/>
  <c r="H12" i="61" s="1"/>
  <c r="H10" i="61"/>
  <c r="H45" i="61" s="1"/>
  <c r="G10" i="61"/>
  <c r="G45" i="61" s="1"/>
  <c r="F10" i="61"/>
  <c r="F45" i="61" s="1"/>
  <c r="E10" i="61"/>
  <c r="E45" i="61" s="1"/>
  <c r="D10" i="61"/>
  <c r="D45" i="61" s="1"/>
  <c r="C10" i="61"/>
  <c r="C45" i="61" s="1"/>
  <c r="J9" i="61"/>
  <c r="I9" i="61"/>
  <c r="J8" i="61"/>
  <c r="I8" i="61"/>
  <c r="J7" i="61"/>
  <c r="I7" i="61"/>
  <c r="J6" i="61"/>
  <c r="I6" i="61"/>
  <c r="J5" i="61"/>
  <c r="I5" i="61"/>
  <c r="J4" i="61"/>
  <c r="I4" i="61"/>
  <c r="D3" i="61"/>
  <c r="E3" i="61" s="1"/>
  <c r="F3" i="61" s="1"/>
  <c r="G3" i="61" s="1"/>
  <c r="H3" i="61" s="1"/>
  <c r="E38" i="61" l="1"/>
  <c r="G38" i="61"/>
  <c r="G46" i="61" s="1"/>
  <c r="J21" i="61"/>
  <c r="D38" i="61"/>
  <c r="D44" i="61" s="1"/>
  <c r="H38" i="61"/>
  <c r="H46" i="61" s="1"/>
  <c r="J17" i="61"/>
  <c r="J35" i="61"/>
  <c r="F38" i="61"/>
  <c r="F46" i="61" s="1"/>
  <c r="J25" i="61"/>
  <c r="I35" i="61"/>
  <c r="I17" i="61"/>
  <c r="J45" i="61"/>
  <c r="I45" i="61"/>
  <c r="E40" i="61"/>
  <c r="E46" i="61"/>
  <c r="E44" i="61"/>
  <c r="C38" i="61"/>
  <c r="I10" i="61"/>
  <c r="J10" i="61"/>
  <c r="I25" i="61"/>
  <c r="I21" i="61"/>
  <c r="D46" i="61" l="1"/>
  <c r="G40" i="61"/>
  <c r="D40" i="61"/>
  <c r="H40" i="61"/>
  <c r="G44" i="61"/>
  <c r="H44" i="61"/>
  <c r="F40" i="61"/>
  <c r="F44" i="61"/>
  <c r="C40" i="61"/>
  <c r="J38" i="61"/>
  <c r="J40" i="61" s="1"/>
  <c r="C46" i="61"/>
  <c r="C44" i="61"/>
  <c r="I38" i="61"/>
  <c r="B22" i="61" s="1"/>
  <c r="B26" i="61" l="1"/>
  <c r="B36" i="61"/>
  <c r="I40" i="61"/>
  <c r="J44" i="61"/>
  <c r="I44" i="61"/>
  <c r="J46" i="61"/>
  <c r="I46" i="61"/>
  <c r="H9" i="1" l="1"/>
  <c r="H9" i="62" s="1"/>
  <c r="G9" i="1"/>
  <c r="G9" i="62" s="1"/>
  <c r="F9" i="1"/>
  <c r="F9" i="62" s="1"/>
  <c r="E9" i="1"/>
  <c r="E9" i="62" s="1"/>
  <c r="D9" i="1"/>
  <c r="D9" i="62" s="1"/>
  <c r="C9" i="1"/>
  <c r="C9" i="62" s="1"/>
  <c r="H13" i="36"/>
  <c r="I9" i="62" l="1"/>
  <c r="J9" i="62"/>
  <c r="C53" i="19" l="1"/>
  <c r="E53" i="19"/>
  <c r="G53" i="19"/>
  <c r="H53" i="19"/>
  <c r="D53" i="19"/>
  <c r="F53" i="19"/>
  <c r="J109" i="10"/>
  <c r="I109" i="10"/>
  <c r="J15" i="18" l="1"/>
  <c r="I15" i="18"/>
  <c r="C7" i="18"/>
  <c r="C16" i="18" s="1"/>
  <c r="J56" i="55" l="1"/>
  <c r="I56" i="55"/>
  <c r="J55" i="55"/>
  <c r="I55" i="55"/>
  <c r="J54" i="55"/>
  <c r="I54" i="55"/>
  <c r="J53" i="55"/>
  <c r="I53" i="55"/>
  <c r="J52" i="55"/>
  <c r="I52" i="55"/>
  <c r="J51" i="55"/>
  <c r="I51" i="55"/>
  <c r="J50" i="55"/>
  <c r="I50" i="55"/>
  <c r="J49" i="55"/>
  <c r="I49" i="55"/>
  <c r="J48" i="55"/>
  <c r="I48" i="55"/>
  <c r="J47" i="55"/>
  <c r="I47" i="55"/>
  <c r="J43" i="55"/>
  <c r="I43" i="55"/>
  <c r="D42" i="55"/>
  <c r="E42" i="55" s="1"/>
  <c r="F42" i="55" s="1"/>
  <c r="G42" i="55" s="1"/>
  <c r="H42" i="55" s="1"/>
  <c r="J37" i="55"/>
  <c r="I37" i="55"/>
  <c r="J36" i="55"/>
  <c r="I36" i="55"/>
  <c r="H35" i="55"/>
  <c r="G35" i="55"/>
  <c r="F35" i="55"/>
  <c r="E35" i="55"/>
  <c r="D35" i="55"/>
  <c r="C35" i="55"/>
  <c r="J34" i="55"/>
  <c r="I34" i="55"/>
  <c r="J33" i="55"/>
  <c r="I33" i="55"/>
  <c r="J32" i="55"/>
  <c r="I32" i="55"/>
  <c r="J31" i="55"/>
  <c r="I31" i="55"/>
  <c r="J30" i="55"/>
  <c r="I30" i="55"/>
  <c r="J29" i="55"/>
  <c r="I29" i="55"/>
  <c r="J28" i="55"/>
  <c r="I28" i="55"/>
  <c r="J27" i="55"/>
  <c r="I27" i="55"/>
  <c r="J26" i="55"/>
  <c r="I26" i="55"/>
  <c r="H25" i="55"/>
  <c r="G25" i="55"/>
  <c r="F25" i="55"/>
  <c r="E25" i="55"/>
  <c r="D25" i="55"/>
  <c r="C25" i="55"/>
  <c r="J24" i="55"/>
  <c r="I24" i="55"/>
  <c r="J23" i="55"/>
  <c r="I23" i="55"/>
  <c r="J22" i="55"/>
  <c r="I22" i="55"/>
  <c r="H21" i="55"/>
  <c r="G21" i="55"/>
  <c r="G38" i="55" s="1"/>
  <c r="F21" i="55"/>
  <c r="E21" i="55"/>
  <c r="D21" i="55"/>
  <c r="C21" i="55"/>
  <c r="J20" i="55"/>
  <c r="I20" i="55"/>
  <c r="C19" i="55"/>
  <c r="D19" i="55" s="1"/>
  <c r="E19" i="55" s="1"/>
  <c r="F19" i="55" s="1"/>
  <c r="G19" i="55" s="1"/>
  <c r="H19" i="55" s="1"/>
  <c r="H17" i="55"/>
  <c r="G17" i="55"/>
  <c r="F17" i="55"/>
  <c r="J17" i="55" s="1"/>
  <c r="E17" i="55"/>
  <c r="D17" i="55"/>
  <c r="C17" i="55"/>
  <c r="J16" i="55"/>
  <c r="I16" i="55"/>
  <c r="J15" i="55"/>
  <c r="I15" i="55"/>
  <c r="J14" i="55"/>
  <c r="I14" i="55"/>
  <c r="J13" i="55"/>
  <c r="I13" i="55"/>
  <c r="C12" i="55"/>
  <c r="D12" i="55" s="1"/>
  <c r="E12" i="55" s="1"/>
  <c r="F12" i="55" s="1"/>
  <c r="G12" i="55" s="1"/>
  <c r="H12" i="55" s="1"/>
  <c r="H10" i="55"/>
  <c r="H45" i="55" s="1"/>
  <c r="G10" i="55"/>
  <c r="G45" i="55" s="1"/>
  <c r="F10" i="55"/>
  <c r="F45" i="55" s="1"/>
  <c r="E10" i="55"/>
  <c r="E45" i="55" s="1"/>
  <c r="D10" i="55"/>
  <c r="C10" i="55"/>
  <c r="C45" i="55" s="1"/>
  <c r="J9" i="55"/>
  <c r="I9" i="55"/>
  <c r="J8" i="55"/>
  <c r="I8" i="55"/>
  <c r="J7" i="55"/>
  <c r="I7" i="55"/>
  <c r="J6" i="55"/>
  <c r="I6" i="55"/>
  <c r="J5" i="55"/>
  <c r="I5" i="55"/>
  <c r="J4" i="55"/>
  <c r="I4" i="55"/>
  <c r="D3" i="55"/>
  <c r="E3" i="55" s="1"/>
  <c r="F3" i="55" s="1"/>
  <c r="G3" i="55" s="1"/>
  <c r="H3" i="55" s="1"/>
  <c r="J25" i="55" l="1"/>
  <c r="E38" i="55"/>
  <c r="I17" i="55"/>
  <c r="J10" i="55"/>
  <c r="I10" i="55"/>
  <c r="G46" i="55"/>
  <c r="G44" i="55"/>
  <c r="F38" i="55"/>
  <c r="I25" i="55"/>
  <c r="D45" i="55"/>
  <c r="J45" i="55" s="1"/>
  <c r="J21" i="55"/>
  <c r="E40" i="55"/>
  <c r="E46" i="55"/>
  <c r="E44" i="55"/>
  <c r="H38" i="55"/>
  <c r="G40" i="55"/>
  <c r="I21" i="55"/>
  <c r="J35" i="55"/>
  <c r="I35" i="55"/>
  <c r="D38" i="55"/>
  <c r="C38" i="55"/>
  <c r="D40" i="55" l="1"/>
  <c r="D46" i="55"/>
  <c r="D44" i="55"/>
  <c r="I45" i="55"/>
  <c r="H40" i="55"/>
  <c r="H46" i="55"/>
  <c r="H44" i="55"/>
  <c r="B26" i="55"/>
  <c r="C46" i="55"/>
  <c r="C44" i="55"/>
  <c r="J38" i="55"/>
  <c r="J40" i="55" s="1"/>
  <c r="C40" i="55"/>
  <c r="I38" i="55"/>
  <c r="I40" i="55" s="1"/>
  <c r="B36" i="55"/>
  <c r="F40" i="55"/>
  <c r="F46" i="55"/>
  <c r="F44" i="55"/>
  <c r="B22" i="55" l="1"/>
  <c r="I44" i="55"/>
  <c r="J44" i="55"/>
  <c r="I46" i="55"/>
  <c r="J46" i="55"/>
  <c r="G14" i="36" l="1"/>
  <c r="F14" i="36"/>
  <c r="E14" i="36"/>
  <c r="D14" i="36"/>
  <c r="C14" i="36"/>
  <c r="B14" i="36"/>
  <c r="J9" i="1"/>
  <c r="I9" i="1"/>
  <c r="BU21" i="13" l="1"/>
  <c r="BT21" i="13"/>
  <c r="BL21" i="13"/>
  <c r="BK21" i="13"/>
  <c r="BC21" i="13"/>
  <c r="BB21" i="13"/>
  <c r="AT21" i="13"/>
  <c r="AS21" i="13"/>
  <c r="AK21" i="13"/>
  <c r="AJ21" i="13"/>
  <c r="AB21" i="13"/>
  <c r="AA21" i="13"/>
  <c r="S21" i="13"/>
  <c r="R21" i="13"/>
  <c r="J21" i="13"/>
  <c r="I21" i="13"/>
  <c r="BN20" i="13"/>
  <c r="BO20" i="13" s="1"/>
  <c r="BP20" i="13" s="1"/>
  <c r="BQ20" i="13" s="1"/>
  <c r="BR20" i="13" s="1"/>
  <c r="BS20" i="13" s="1"/>
  <c r="BE20" i="13"/>
  <c r="BF20" i="13" s="1"/>
  <c r="BG20" i="13" s="1"/>
  <c r="BH20" i="13" s="1"/>
  <c r="BI20" i="13" s="1"/>
  <c r="BJ20" i="13" s="1"/>
  <c r="AV20" i="13"/>
  <c r="AW20" i="13" s="1"/>
  <c r="AX20" i="13" s="1"/>
  <c r="AY20" i="13" s="1"/>
  <c r="AZ20" i="13" s="1"/>
  <c r="BA20" i="13" s="1"/>
  <c r="AM20" i="13"/>
  <c r="AN20" i="13" s="1"/>
  <c r="AO20" i="13" s="1"/>
  <c r="AP20" i="13" s="1"/>
  <c r="AQ20" i="13" s="1"/>
  <c r="AR20" i="13" s="1"/>
  <c r="AD20" i="13"/>
  <c r="AE20" i="13" s="1"/>
  <c r="AF20" i="13" s="1"/>
  <c r="AG20" i="13" s="1"/>
  <c r="AH20" i="13" s="1"/>
  <c r="AI20" i="13" s="1"/>
  <c r="U20" i="13"/>
  <c r="V20" i="13" s="1"/>
  <c r="W20" i="13" s="1"/>
  <c r="X20" i="13" s="1"/>
  <c r="Y20" i="13" s="1"/>
  <c r="Z20" i="13" s="1"/>
  <c r="L20" i="13"/>
  <c r="M20" i="13" s="1"/>
  <c r="N20" i="13" s="1"/>
  <c r="O20" i="13" s="1"/>
  <c r="P20" i="13" s="1"/>
  <c r="Q20" i="13" s="1"/>
  <c r="C20" i="13"/>
  <c r="D20" i="13" s="1"/>
  <c r="E20" i="13" s="1"/>
  <c r="F20" i="13" s="1"/>
  <c r="G20" i="13" s="1"/>
  <c r="H20" i="13" s="1"/>
  <c r="BU6" i="13"/>
  <c r="BT6" i="13"/>
  <c r="BL6" i="13"/>
  <c r="BK6" i="13"/>
  <c r="BC6" i="13"/>
  <c r="BB6" i="13"/>
  <c r="AT6" i="13"/>
  <c r="AS6" i="13"/>
  <c r="AK6" i="13"/>
  <c r="AJ6" i="13"/>
  <c r="AB6" i="13"/>
  <c r="AA6" i="13"/>
  <c r="S6" i="13"/>
  <c r="R6" i="13"/>
  <c r="J6" i="13"/>
  <c r="I6" i="13"/>
  <c r="BN5" i="13"/>
  <c r="BE5" i="13"/>
  <c r="AV5" i="13"/>
  <c r="AM5" i="13"/>
  <c r="AD5" i="13"/>
  <c r="U5" i="13"/>
  <c r="L5" i="13"/>
  <c r="C5" i="13"/>
  <c r="D5" i="13" s="1"/>
  <c r="E5" i="13" s="1"/>
  <c r="F5" i="13" s="1"/>
  <c r="G5" i="13" s="1"/>
  <c r="H5" i="13" s="1"/>
  <c r="AE5" i="13" l="1"/>
  <c r="BO5" i="13"/>
  <c r="V5" i="13"/>
  <c r="AN5" i="13"/>
  <c r="BF5" i="13"/>
  <c r="M5" i="13"/>
  <c r="AW5" i="13"/>
  <c r="AF5" i="13" l="1"/>
  <c r="AG5" i="13" s="1"/>
  <c r="BP5" i="13"/>
  <c r="BG5" i="13"/>
  <c r="AX5" i="13"/>
  <c r="N5" i="13"/>
  <c r="AO5" i="13"/>
  <c r="W5" i="13"/>
  <c r="BQ5" i="13" l="1"/>
  <c r="AH5" i="13"/>
  <c r="X5" i="13"/>
  <c r="AP5" i="13"/>
  <c r="AY5" i="13"/>
  <c r="BH5" i="13"/>
  <c r="O5" i="13"/>
  <c r="BR5" i="13" l="1"/>
  <c r="Y5" i="13"/>
  <c r="AZ5" i="13"/>
  <c r="AQ5" i="13"/>
  <c r="AI5" i="13"/>
  <c r="BI5" i="13"/>
  <c r="P5" i="13"/>
  <c r="BS5" i="13" l="1"/>
  <c r="BA5" i="13"/>
  <c r="Q5" i="13"/>
  <c r="Z5" i="13"/>
  <c r="BJ5" i="13"/>
  <c r="AR5" i="13"/>
  <c r="B87" i="36" l="1"/>
  <c r="F111" i="36"/>
  <c r="E87" i="36" l="1"/>
  <c r="J42" i="49"/>
  <c r="I42" i="49"/>
  <c r="D41" i="49"/>
  <c r="E41" i="49" s="1"/>
  <c r="F41" i="49" s="1"/>
  <c r="G41" i="49" s="1"/>
  <c r="H41" i="49" s="1"/>
  <c r="J36" i="49"/>
  <c r="G34" i="49"/>
  <c r="J35" i="49"/>
  <c r="H34" i="49"/>
  <c r="F34" i="49"/>
  <c r="E34" i="49"/>
  <c r="D34" i="49"/>
  <c r="J33" i="49"/>
  <c r="J32" i="49"/>
  <c r="J31" i="49"/>
  <c r="J30" i="49"/>
  <c r="J29" i="49"/>
  <c r="J28" i="49"/>
  <c r="J27" i="49"/>
  <c r="J26" i="49"/>
  <c r="H24" i="49"/>
  <c r="D24" i="49"/>
  <c r="G24" i="49"/>
  <c r="F24" i="49"/>
  <c r="E24" i="49"/>
  <c r="C24" i="49"/>
  <c r="I23" i="49"/>
  <c r="J23" i="49"/>
  <c r="I22" i="49"/>
  <c r="J22" i="49"/>
  <c r="I21" i="49"/>
  <c r="E20" i="49"/>
  <c r="J21" i="49"/>
  <c r="H20" i="49"/>
  <c r="G20" i="49"/>
  <c r="F20" i="49"/>
  <c r="D20" i="49"/>
  <c r="C20" i="49"/>
  <c r="J19" i="49"/>
  <c r="I19" i="49"/>
  <c r="C18" i="49"/>
  <c r="D18" i="49" s="1"/>
  <c r="E18" i="49" s="1"/>
  <c r="F18" i="49" s="1"/>
  <c r="G18" i="49" s="1"/>
  <c r="H18" i="49" s="1"/>
  <c r="J15" i="49"/>
  <c r="I15" i="49"/>
  <c r="J14" i="49"/>
  <c r="I14" i="49"/>
  <c r="J13" i="49"/>
  <c r="H16" i="49"/>
  <c r="F16" i="49"/>
  <c r="E16" i="49"/>
  <c r="D16" i="49"/>
  <c r="J12" i="49"/>
  <c r="I12" i="49"/>
  <c r="C11" i="49"/>
  <c r="D11" i="49" s="1"/>
  <c r="E11" i="49" s="1"/>
  <c r="F11" i="49" s="1"/>
  <c r="G11" i="49" s="1"/>
  <c r="H11" i="49" s="1"/>
  <c r="J8" i="49"/>
  <c r="I8" i="49"/>
  <c r="J7" i="49"/>
  <c r="I7" i="49"/>
  <c r="J6" i="49"/>
  <c r="I6" i="49"/>
  <c r="J5" i="49"/>
  <c r="H9" i="49"/>
  <c r="G9" i="49"/>
  <c r="F9" i="49"/>
  <c r="E9" i="49"/>
  <c r="D9" i="49"/>
  <c r="C9" i="49"/>
  <c r="J4" i="49"/>
  <c r="I4" i="49"/>
  <c r="D3" i="49"/>
  <c r="E3" i="49" s="1"/>
  <c r="F3" i="49" s="1"/>
  <c r="G3" i="49" s="1"/>
  <c r="H3" i="49" s="1"/>
  <c r="C17" i="11"/>
  <c r="C13" i="11"/>
  <c r="H37" i="49" l="1"/>
  <c r="G37" i="49"/>
  <c r="G43" i="49" s="1"/>
  <c r="H44" i="49"/>
  <c r="J20" i="49"/>
  <c r="E37" i="49"/>
  <c r="E43" i="49" s="1"/>
  <c r="I24" i="49"/>
  <c r="E39" i="49"/>
  <c r="J9" i="49"/>
  <c r="I9" i="49"/>
  <c r="D44" i="49"/>
  <c r="H39" i="49"/>
  <c r="G16" i="49"/>
  <c r="D37" i="49"/>
  <c r="D39" i="49" s="1"/>
  <c r="E44" i="49"/>
  <c r="I47" i="49"/>
  <c r="F44" i="49"/>
  <c r="I5" i="49"/>
  <c r="I13" i="49"/>
  <c r="I20" i="49"/>
  <c r="F37" i="49"/>
  <c r="F43" i="49" s="1"/>
  <c r="G44" i="49"/>
  <c r="C16" i="49"/>
  <c r="J24" i="49"/>
  <c r="I25" i="49"/>
  <c r="I26" i="49"/>
  <c r="I27" i="49"/>
  <c r="I28" i="49"/>
  <c r="I29" i="49"/>
  <c r="I30" i="49"/>
  <c r="I31" i="49"/>
  <c r="I32" i="49"/>
  <c r="I33" i="49"/>
  <c r="J25" i="49"/>
  <c r="I35" i="49"/>
  <c r="I36" i="49"/>
  <c r="C34" i="49"/>
  <c r="C44" i="49"/>
  <c r="B78" i="36"/>
  <c r="B95" i="36" s="1"/>
  <c r="K26" i="47"/>
  <c r="J26" i="47"/>
  <c r="K24" i="47"/>
  <c r="J24" i="47"/>
  <c r="K23" i="47"/>
  <c r="J23" i="47"/>
  <c r="K22" i="47"/>
  <c r="J22" i="47"/>
  <c r="K19" i="47"/>
  <c r="J19" i="47"/>
  <c r="K18" i="47"/>
  <c r="J18" i="47"/>
  <c r="K16" i="47"/>
  <c r="J16" i="47"/>
  <c r="K15" i="47"/>
  <c r="J15" i="47"/>
  <c r="K14" i="47"/>
  <c r="J14" i="47"/>
  <c r="H13" i="47"/>
  <c r="G13" i="47"/>
  <c r="F13" i="47"/>
  <c r="E13" i="47"/>
  <c r="D13" i="47"/>
  <c r="C13" i="47"/>
  <c r="H8" i="47"/>
  <c r="G8" i="47"/>
  <c r="F8" i="47"/>
  <c r="E8" i="47"/>
  <c r="D8" i="47"/>
  <c r="C8" i="47"/>
  <c r="K8" i="47" s="1"/>
  <c r="K7" i="47"/>
  <c r="J7" i="47"/>
  <c r="K6" i="47"/>
  <c r="J6" i="47"/>
  <c r="K26" i="46"/>
  <c r="J26" i="46"/>
  <c r="K24" i="46"/>
  <c r="J24" i="46"/>
  <c r="K23" i="46"/>
  <c r="J23" i="46"/>
  <c r="K22" i="46"/>
  <c r="J22" i="46"/>
  <c r="K19" i="46"/>
  <c r="J19" i="46"/>
  <c r="K18" i="46"/>
  <c r="J18" i="46"/>
  <c r="K16" i="46"/>
  <c r="J16" i="46"/>
  <c r="K15" i="46"/>
  <c r="J15" i="46"/>
  <c r="K14" i="46"/>
  <c r="J14" i="46"/>
  <c r="H13" i="46"/>
  <c r="G13" i="46"/>
  <c r="F13" i="46"/>
  <c r="E13" i="46"/>
  <c r="D13" i="46"/>
  <c r="K13" i="46" s="1"/>
  <c r="C13" i="46"/>
  <c r="J13" i="46" s="1"/>
  <c r="H8" i="46"/>
  <c r="G8" i="46"/>
  <c r="F8" i="46"/>
  <c r="E8" i="46"/>
  <c r="D8" i="46"/>
  <c r="K8" i="46" s="1"/>
  <c r="C8" i="46"/>
  <c r="J8" i="46" s="1"/>
  <c r="K7" i="46"/>
  <c r="J7" i="46"/>
  <c r="K6" i="46"/>
  <c r="J6" i="46"/>
  <c r="K26" i="45"/>
  <c r="J26" i="45"/>
  <c r="K24" i="45"/>
  <c r="J24" i="45"/>
  <c r="K23" i="45"/>
  <c r="J23" i="45"/>
  <c r="K22" i="45"/>
  <c r="J22" i="45"/>
  <c r="K19" i="45"/>
  <c r="J19" i="45"/>
  <c r="K18" i="45"/>
  <c r="J18" i="45"/>
  <c r="K16" i="45"/>
  <c r="J16" i="45"/>
  <c r="K15" i="45"/>
  <c r="J15" i="45"/>
  <c r="K14" i="45"/>
  <c r="J14" i="45"/>
  <c r="H13" i="45"/>
  <c r="G13" i="45"/>
  <c r="F13" i="45"/>
  <c r="E13" i="45"/>
  <c r="D13" i="45"/>
  <c r="C13" i="45"/>
  <c r="H8" i="45"/>
  <c r="G8" i="45"/>
  <c r="F8" i="45"/>
  <c r="E8" i="45"/>
  <c r="D8" i="45"/>
  <c r="C8" i="45"/>
  <c r="K8" i="45" s="1"/>
  <c r="K7" i="45"/>
  <c r="J7" i="45"/>
  <c r="K6" i="45"/>
  <c r="J6" i="45"/>
  <c r="K26" i="44"/>
  <c r="J26" i="44"/>
  <c r="K24" i="44"/>
  <c r="J24" i="44"/>
  <c r="K23" i="44"/>
  <c r="J23" i="44"/>
  <c r="K22" i="44"/>
  <c r="J22" i="44"/>
  <c r="K19" i="44"/>
  <c r="J19" i="44"/>
  <c r="K18" i="44"/>
  <c r="J18" i="44"/>
  <c r="K16" i="44"/>
  <c r="J16" i="44"/>
  <c r="K15" i="44"/>
  <c r="J15" i="44"/>
  <c r="K14" i="44"/>
  <c r="J14" i="44"/>
  <c r="J13" i="44"/>
  <c r="H13" i="44"/>
  <c r="G13" i="44"/>
  <c r="F13" i="44"/>
  <c r="E13" i="44"/>
  <c r="D13" i="44"/>
  <c r="C13" i="44"/>
  <c r="J8" i="44"/>
  <c r="H8" i="44"/>
  <c r="G8" i="44"/>
  <c r="F8" i="44"/>
  <c r="E8" i="44"/>
  <c r="D8" i="44"/>
  <c r="C8" i="44"/>
  <c r="K8" i="44" s="1"/>
  <c r="K7" i="44"/>
  <c r="J7" i="44"/>
  <c r="K6" i="44"/>
  <c r="J6" i="44"/>
  <c r="F39" i="49" l="1"/>
  <c r="B57" i="49" a="1"/>
  <c r="B57" i="49" s="1"/>
  <c r="J47" i="49"/>
  <c r="J49" i="49"/>
  <c r="I49" i="49"/>
  <c r="C37" i="49"/>
  <c r="J34" i="49"/>
  <c r="I34" i="49"/>
  <c r="G39" i="49"/>
  <c r="G45" i="49"/>
  <c r="F45" i="49"/>
  <c r="B60" i="49" a="1"/>
  <c r="B60" i="49" s="1"/>
  <c r="H45" i="49"/>
  <c r="H43" i="49"/>
  <c r="J46" i="49"/>
  <c r="I46" i="49"/>
  <c r="B59" i="49" a="1"/>
  <c r="B59" i="49" s="1"/>
  <c r="J44" i="49"/>
  <c r="I44" i="49"/>
  <c r="J16" i="49"/>
  <c r="B58" i="49" a="1"/>
  <c r="B58" i="49" s="1"/>
  <c r="I16" i="49"/>
  <c r="D45" i="49"/>
  <c r="D43" i="49"/>
  <c r="J48" i="49"/>
  <c r="I48" i="49"/>
  <c r="E45" i="49"/>
  <c r="G17" i="44"/>
  <c r="G27" i="44" s="1"/>
  <c r="G29" i="44"/>
  <c r="G17" i="45"/>
  <c r="G27" i="45" s="1"/>
  <c r="G29" i="45" s="1"/>
  <c r="D17" i="47"/>
  <c r="D27" i="47" s="1"/>
  <c r="D29" i="47" s="1"/>
  <c r="H17" i="45"/>
  <c r="H27" i="45" s="1"/>
  <c r="H29" i="45" s="1"/>
  <c r="E17" i="44"/>
  <c r="E27" i="44" s="1"/>
  <c r="E29" i="44" s="1"/>
  <c r="J8" i="45"/>
  <c r="J13" i="45"/>
  <c r="J20" i="46"/>
  <c r="F17" i="44"/>
  <c r="F27" i="44" s="1"/>
  <c r="F29" i="44" s="1"/>
  <c r="K13" i="45"/>
  <c r="E17" i="47"/>
  <c r="E27" i="47" s="1"/>
  <c r="E29" i="47" s="1"/>
  <c r="K13" i="44"/>
  <c r="F17" i="45"/>
  <c r="F27" i="45" s="1"/>
  <c r="F29" i="45" s="1"/>
  <c r="H17" i="46"/>
  <c r="H27" i="46" s="1"/>
  <c r="H29" i="46" s="1"/>
  <c r="J8" i="47"/>
  <c r="J13" i="47"/>
  <c r="D17" i="44"/>
  <c r="D27" i="44" s="1"/>
  <c r="K13" i="47"/>
  <c r="C39" i="49" l="1"/>
  <c r="C45" i="49"/>
  <c r="J37" i="49"/>
  <c r="J39" i="49" s="1"/>
  <c r="I37" i="49"/>
  <c r="C43" i="49"/>
  <c r="J55" i="49"/>
  <c r="I55" i="49"/>
  <c r="B61" i="49" a="1"/>
  <c r="B61" i="49" s="1"/>
  <c r="J52" i="49"/>
  <c r="I52" i="49"/>
  <c r="J21" i="45"/>
  <c r="K21" i="45"/>
  <c r="K21" i="47"/>
  <c r="J21" i="47"/>
  <c r="J21" i="44"/>
  <c r="G17" i="46"/>
  <c r="G27" i="46" s="1"/>
  <c r="G29" i="46" s="1"/>
  <c r="E17" i="46"/>
  <c r="E27" i="46" s="1"/>
  <c r="E29" i="46" s="1"/>
  <c r="D29" i="44"/>
  <c r="J25" i="45"/>
  <c r="E17" i="45"/>
  <c r="E27" i="45" s="1"/>
  <c r="K25" i="45"/>
  <c r="D17" i="46"/>
  <c r="D27" i="46" s="1"/>
  <c r="F17" i="46"/>
  <c r="F27" i="46" s="1"/>
  <c r="F29" i="46" s="1"/>
  <c r="G17" i="47"/>
  <c r="G27" i="47" s="1"/>
  <c r="K20" i="46"/>
  <c r="K20" i="44"/>
  <c r="J20" i="44"/>
  <c r="K20" i="45"/>
  <c r="J20" i="45"/>
  <c r="C17" i="45"/>
  <c r="K21" i="46"/>
  <c r="J21" i="46"/>
  <c r="K20" i="47"/>
  <c r="J20" i="47"/>
  <c r="C17" i="47"/>
  <c r="D17" i="45"/>
  <c r="D27" i="45" s="1"/>
  <c r="D29" i="45" s="1"/>
  <c r="C17" i="44"/>
  <c r="F17" i="47"/>
  <c r="F27" i="47" s="1"/>
  <c r="F29" i="47" s="1"/>
  <c r="H17" i="44"/>
  <c r="H27" i="44" s="1"/>
  <c r="H29" i="44" s="1"/>
  <c r="J25" i="47"/>
  <c r="K25" i="46"/>
  <c r="J25" i="46"/>
  <c r="C17" i="46"/>
  <c r="B25" i="49" l="1"/>
  <c r="I39" i="49"/>
  <c r="B21" i="49"/>
  <c r="B35" i="49"/>
  <c r="J45" i="49"/>
  <c r="I45" i="49"/>
  <c r="J53" i="49"/>
  <c r="I53" i="49"/>
  <c r="J50" i="49"/>
  <c r="I50" i="49"/>
  <c r="J54" i="49"/>
  <c r="I54" i="49"/>
  <c r="J51" i="49"/>
  <c r="I51" i="49"/>
  <c r="J43" i="49"/>
  <c r="I43" i="49"/>
  <c r="K17" i="44"/>
  <c r="J17" i="44"/>
  <c r="C27" i="44"/>
  <c r="C29" i="44" s="1"/>
  <c r="K21" i="44"/>
  <c r="C27" i="47"/>
  <c r="G29" i="47"/>
  <c r="K25" i="47"/>
  <c r="K17" i="45"/>
  <c r="J17" i="45"/>
  <c r="C27" i="45"/>
  <c r="K17" i="46"/>
  <c r="J17" i="46"/>
  <c r="C27" i="46"/>
  <c r="D29" i="46"/>
  <c r="J25" i="44"/>
  <c r="K25" i="44"/>
  <c r="E29" i="45"/>
  <c r="H17" i="47"/>
  <c r="H27" i="47" s="1"/>
  <c r="H29" i="47" s="1"/>
  <c r="J17" i="47" l="1"/>
  <c r="K27" i="45"/>
  <c r="K29" i="45" s="1"/>
  <c r="J27" i="45"/>
  <c r="J29" i="45" s="1"/>
  <c r="C29" i="45"/>
  <c r="K17" i="47"/>
  <c r="J29" i="44"/>
  <c r="K27" i="44"/>
  <c r="K29" i="44" s="1"/>
  <c r="J27" i="44"/>
  <c r="K27" i="47"/>
  <c r="J27" i="47"/>
  <c r="J29" i="47" s="1"/>
  <c r="C29" i="47"/>
  <c r="K29" i="47"/>
  <c r="K27" i="46"/>
  <c r="K29" i="46" s="1"/>
  <c r="J27" i="46"/>
  <c r="J29" i="46" s="1"/>
  <c r="C29" i="46"/>
  <c r="C110" i="18" l="1"/>
  <c r="D110" i="18"/>
  <c r="E110" i="18"/>
  <c r="F110" i="18"/>
  <c r="G110" i="18"/>
  <c r="H110" i="18"/>
  <c r="B25" i="36" l="1"/>
  <c r="C22" i="36" s="1"/>
  <c r="B67" i="36" l="1"/>
  <c r="A143" i="34" l="1"/>
  <c r="A142" i="34"/>
  <c r="C44" i="18"/>
  <c r="C92" i="18"/>
  <c r="H59" i="18"/>
  <c r="G59" i="18"/>
  <c r="F59" i="18"/>
  <c r="E59" i="18"/>
  <c r="D59" i="18"/>
  <c r="C59" i="18"/>
  <c r="C83" i="18"/>
  <c r="C74" i="18"/>
  <c r="H92" i="18"/>
  <c r="G92" i="18"/>
  <c r="F92" i="18"/>
  <c r="E92" i="18"/>
  <c r="D92" i="18"/>
  <c r="J94" i="18"/>
  <c r="I94" i="18"/>
  <c r="J91" i="18"/>
  <c r="I91" i="18"/>
  <c r="J90" i="18"/>
  <c r="I90" i="18"/>
  <c r="J89" i="18"/>
  <c r="I89" i="18"/>
  <c r="J88" i="18"/>
  <c r="I88" i="18"/>
  <c r="J87" i="18"/>
  <c r="I87" i="18"/>
  <c r="J86" i="18"/>
  <c r="I86" i="18"/>
  <c r="J85" i="18"/>
  <c r="I85" i="18"/>
  <c r="J84" i="18"/>
  <c r="I84" i="18"/>
  <c r="H83" i="18"/>
  <c r="G83" i="18"/>
  <c r="F83" i="18"/>
  <c r="E83" i="18"/>
  <c r="D83" i="18"/>
  <c r="J82" i="18"/>
  <c r="I82" i="18"/>
  <c r="J81" i="18"/>
  <c r="I81" i="18"/>
  <c r="J80" i="18"/>
  <c r="I80" i="18"/>
  <c r="J79" i="18"/>
  <c r="I79" i="18"/>
  <c r="J78" i="18"/>
  <c r="I78" i="18"/>
  <c r="J77" i="18"/>
  <c r="I77" i="18"/>
  <c r="J76" i="18"/>
  <c r="I76" i="18"/>
  <c r="J75" i="18"/>
  <c r="I75" i="18"/>
  <c r="H74" i="18"/>
  <c r="G74" i="18"/>
  <c r="F74" i="18"/>
  <c r="E74" i="18"/>
  <c r="D74" i="18"/>
  <c r="J73" i="18"/>
  <c r="I73" i="18"/>
  <c r="J72" i="18"/>
  <c r="I72" i="18"/>
  <c r="J66" i="18"/>
  <c r="I66" i="18"/>
  <c r="J65" i="18"/>
  <c r="I65" i="18"/>
  <c r="H44" i="18"/>
  <c r="G44" i="18"/>
  <c r="F44" i="18"/>
  <c r="E44" i="18"/>
  <c r="D44" i="18"/>
  <c r="J58" i="18"/>
  <c r="I58" i="18"/>
  <c r="J57" i="18"/>
  <c r="I57" i="18"/>
  <c r="J51" i="18"/>
  <c r="I51" i="18"/>
  <c r="J50" i="18"/>
  <c r="I50" i="18"/>
  <c r="I92" i="18" l="1"/>
  <c r="J92" i="18"/>
  <c r="J83" i="18"/>
  <c r="J74" i="18"/>
  <c r="I74" i="18"/>
  <c r="I83" i="18"/>
  <c r="D3" i="1" l="1"/>
  <c r="E3" i="1" s="1"/>
  <c r="F3" i="1" s="1"/>
  <c r="G3" i="1" s="1"/>
  <c r="H3" i="1" s="1"/>
  <c r="C12" i="1"/>
  <c r="D12" i="1" s="1"/>
  <c r="E12" i="1" s="1"/>
  <c r="F12" i="1" s="1"/>
  <c r="G12" i="1" s="1"/>
  <c r="H12" i="1" s="1"/>
  <c r="G57" i="36"/>
  <c r="F57" i="36"/>
  <c r="E57" i="36"/>
  <c r="D57" i="36"/>
  <c r="C57" i="36"/>
  <c r="B57" i="36"/>
  <c r="G52" i="36"/>
  <c r="F52" i="36"/>
  <c r="E52" i="36"/>
  <c r="D52" i="36"/>
  <c r="C52" i="36"/>
  <c r="B52" i="36"/>
  <c r="G67" i="36"/>
  <c r="F67" i="36"/>
  <c r="E67" i="36"/>
  <c r="D67" i="36"/>
  <c r="C67" i="36"/>
  <c r="G62" i="36"/>
  <c r="F62" i="36"/>
  <c r="E62" i="36"/>
  <c r="D62" i="36"/>
  <c r="C62" i="36"/>
  <c r="B62" i="36"/>
  <c r="J36" i="18" l="1"/>
  <c r="I36" i="18"/>
  <c r="J35" i="18"/>
  <c r="I35" i="18"/>
  <c r="H7" i="1"/>
  <c r="H7" i="62" s="1"/>
  <c r="G7" i="1"/>
  <c r="G7" i="62" s="1"/>
  <c r="F7" i="1"/>
  <c r="F7" i="62" s="1"/>
  <c r="E7" i="1"/>
  <c r="E7" i="62" s="1"/>
  <c r="D7" i="1"/>
  <c r="D7" i="62" s="1"/>
  <c r="C7" i="1"/>
  <c r="C7" i="62" s="1"/>
  <c r="J41" i="18"/>
  <c r="I41" i="18"/>
  <c r="J13" i="18"/>
  <c r="I13" i="18"/>
  <c r="C111" i="36"/>
  <c r="B111" i="36"/>
  <c r="B21" i="36"/>
  <c r="H7" i="36"/>
  <c r="H16" i="36"/>
  <c r="G21" i="36"/>
  <c r="E21" i="36"/>
  <c r="D21" i="36"/>
  <c r="G87" i="36"/>
  <c r="F87" i="36"/>
  <c r="H92" i="36"/>
  <c r="J92" i="36" s="1"/>
  <c r="H93" i="36"/>
  <c r="J93" i="36" s="1"/>
  <c r="H91" i="36"/>
  <c r="J91" i="36" s="1"/>
  <c r="H99" i="36"/>
  <c r="H76" i="36"/>
  <c r="H40" i="36"/>
  <c r="H33" i="36"/>
  <c r="H30" i="36"/>
  <c r="J30" i="36" s="1"/>
  <c r="H29" i="36"/>
  <c r="J29" i="36" s="1"/>
  <c r="H28" i="36"/>
  <c r="J28" i="36" s="1"/>
  <c r="E47" i="36"/>
  <c r="E38" i="36"/>
  <c r="E31" i="36"/>
  <c r="H23" i="36"/>
  <c r="G47" i="36"/>
  <c r="F47" i="36"/>
  <c r="D47" i="36"/>
  <c r="C47" i="36"/>
  <c r="B47" i="36"/>
  <c r="F42" i="36"/>
  <c r="D42" i="36"/>
  <c r="C42" i="36"/>
  <c r="B42" i="36"/>
  <c r="F31" i="36"/>
  <c r="D31" i="36"/>
  <c r="C31" i="36"/>
  <c r="B31" i="36"/>
  <c r="I7" i="62" l="1"/>
  <c r="J7" i="62"/>
  <c r="H11" i="36"/>
  <c r="J11" i="36" s="1"/>
  <c r="C72" i="36"/>
  <c r="D72" i="36"/>
  <c r="F72" i="36"/>
  <c r="B72" i="36"/>
  <c r="J7" i="1"/>
  <c r="I7" i="1"/>
  <c r="F21" i="36"/>
  <c r="C21" i="36"/>
  <c r="D38" i="36"/>
  <c r="F38" i="36"/>
  <c r="B38" i="36"/>
  <c r="J43" i="1" l="1"/>
  <c r="I43" i="1"/>
  <c r="D42" i="1"/>
  <c r="E42" i="1" s="1"/>
  <c r="F42" i="1" s="1"/>
  <c r="G42" i="1" s="1"/>
  <c r="H42" i="1" s="1"/>
  <c r="J4" i="19" l="1"/>
  <c r="I4" i="19"/>
  <c r="C3" i="19"/>
  <c r="D3" i="19" s="1"/>
  <c r="E3" i="19" s="1"/>
  <c r="F3" i="19" s="1"/>
  <c r="G3" i="19" s="1"/>
  <c r="H3" i="19" s="1"/>
  <c r="H85" i="10"/>
  <c r="G85" i="10"/>
  <c r="F85" i="10"/>
  <c r="E85" i="10"/>
  <c r="D85" i="10"/>
  <c r="H84" i="10"/>
  <c r="G84" i="10"/>
  <c r="F84" i="10"/>
  <c r="E84" i="10"/>
  <c r="D84" i="10"/>
  <c r="H83" i="10"/>
  <c r="G83" i="10"/>
  <c r="F83" i="10"/>
  <c r="E83" i="10"/>
  <c r="D83" i="10"/>
  <c r="H82" i="10"/>
  <c r="G82" i="10"/>
  <c r="F82" i="10"/>
  <c r="E82" i="10"/>
  <c r="D82" i="10"/>
  <c r="H81" i="10"/>
  <c r="G81" i="10"/>
  <c r="F81" i="10"/>
  <c r="E81" i="10"/>
  <c r="D81" i="10"/>
  <c r="H80" i="10"/>
  <c r="G80" i="10"/>
  <c r="F80" i="10"/>
  <c r="E80" i="10"/>
  <c r="D80" i="10"/>
  <c r="H79" i="10"/>
  <c r="G79" i="10"/>
  <c r="F79" i="10"/>
  <c r="E79" i="10"/>
  <c r="D79" i="10"/>
  <c r="H78" i="10"/>
  <c r="G78" i="10"/>
  <c r="F78" i="10"/>
  <c r="E78" i="10"/>
  <c r="D78" i="10"/>
  <c r="H77" i="10"/>
  <c r="G77" i="10"/>
  <c r="F77" i="10"/>
  <c r="E77" i="10"/>
  <c r="D77" i="10"/>
  <c r="C85" i="10"/>
  <c r="C84" i="10"/>
  <c r="C83" i="10"/>
  <c r="C82" i="10"/>
  <c r="C81" i="10"/>
  <c r="C80" i="10"/>
  <c r="C79" i="10"/>
  <c r="C78" i="10"/>
  <c r="C77" i="10"/>
  <c r="A85" i="10"/>
  <c r="A84" i="10"/>
  <c r="A83" i="10"/>
  <c r="A82" i="10"/>
  <c r="A81" i="10"/>
  <c r="A80" i="10"/>
  <c r="A79" i="10"/>
  <c r="A78" i="10"/>
  <c r="A77" i="10"/>
  <c r="A76" i="10"/>
  <c r="J15" i="27"/>
  <c r="I15" i="27"/>
  <c r="J14" i="27"/>
  <c r="I14" i="27"/>
  <c r="J13" i="27"/>
  <c r="I13" i="27"/>
  <c r="J12" i="27"/>
  <c r="I12" i="27"/>
  <c r="J11" i="27"/>
  <c r="I11" i="27"/>
  <c r="J10" i="27"/>
  <c r="I10" i="27"/>
  <c r="J9" i="27"/>
  <c r="I9" i="27"/>
  <c r="J8" i="27"/>
  <c r="I8" i="27"/>
  <c r="J7" i="27"/>
  <c r="I7" i="27"/>
  <c r="J5" i="27"/>
  <c r="I5" i="27"/>
  <c r="J34" i="26"/>
  <c r="I34" i="26"/>
  <c r="J55" i="11"/>
  <c r="I55" i="11"/>
  <c r="J29" i="11"/>
  <c r="I29" i="11"/>
  <c r="C8" i="1"/>
  <c r="C6" i="1"/>
  <c r="C6" i="62" s="1"/>
  <c r="H8" i="1"/>
  <c r="H8" i="62" s="1"/>
  <c r="G8" i="1"/>
  <c r="G8" i="62" s="1"/>
  <c r="F8" i="1"/>
  <c r="F8" i="62" s="1"/>
  <c r="E8" i="1"/>
  <c r="E8" i="62" s="1"/>
  <c r="D8" i="1"/>
  <c r="D8" i="62" s="1"/>
  <c r="H6" i="1"/>
  <c r="H6" i="62" s="1"/>
  <c r="G6" i="1"/>
  <c r="G6" i="62" s="1"/>
  <c r="F6" i="1"/>
  <c r="F6" i="62" s="1"/>
  <c r="E6" i="1"/>
  <c r="E6" i="62" s="1"/>
  <c r="D6" i="1"/>
  <c r="D6" i="62" s="1"/>
  <c r="J14" i="18"/>
  <c r="I14" i="18"/>
  <c r="J12" i="18"/>
  <c r="I12" i="18"/>
  <c r="J11" i="18"/>
  <c r="I11" i="18"/>
  <c r="J10" i="18"/>
  <c r="I10" i="18"/>
  <c r="J9" i="18"/>
  <c r="I9" i="18"/>
  <c r="J8" i="18"/>
  <c r="I8" i="18"/>
  <c r="H7" i="18"/>
  <c r="G7" i="18"/>
  <c r="F7" i="18"/>
  <c r="E7" i="18"/>
  <c r="E16" i="18" s="1"/>
  <c r="D7" i="18"/>
  <c r="D16" i="18" s="1"/>
  <c r="J6" i="18"/>
  <c r="I6" i="18"/>
  <c r="C5" i="18"/>
  <c r="D5" i="18" s="1"/>
  <c r="E5" i="18" s="1"/>
  <c r="F5" i="18" s="1"/>
  <c r="G5" i="18" s="1"/>
  <c r="H5" i="18" s="1"/>
  <c r="J4" i="1"/>
  <c r="I4" i="1"/>
  <c r="J4" i="10"/>
  <c r="I4" i="10"/>
  <c r="C4" i="27"/>
  <c r="D4" i="27" s="1"/>
  <c r="E4" i="27" s="1"/>
  <c r="F4" i="27" s="1"/>
  <c r="G4" i="27" s="1"/>
  <c r="H4" i="27" s="1"/>
  <c r="C33" i="26"/>
  <c r="D33" i="26" s="1"/>
  <c r="E33" i="26" s="1"/>
  <c r="F33" i="26" s="1"/>
  <c r="G33" i="26" s="1"/>
  <c r="H33" i="26" s="1"/>
  <c r="C28" i="11"/>
  <c r="D28" i="11" s="1"/>
  <c r="E28" i="11" s="1"/>
  <c r="F28" i="11" s="1"/>
  <c r="G28" i="11" s="1"/>
  <c r="H28" i="11" s="1"/>
  <c r="C54" i="11"/>
  <c r="D54" i="11" s="1"/>
  <c r="E54" i="11" s="1"/>
  <c r="F54" i="11" s="1"/>
  <c r="G54" i="11" s="1"/>
  <c r="H54" i="11" s="1"/>
  <c r="C3" i="10"/>
  <c r="D3" i="10" s="1"/>
  <c r="E3" i="10" s="1"/>
  <c r="F3" i="10" s="1"/>
  <c r="G3" i="10" s="1"/>
  <c r="H3" i="10" s="1"/>
  <c r="J105" i="6"/>
  <c r="J476" i="6"/>
  <c r="I476" i="6"/>
  <c r="J464" i="6"/>
  <c r="I464" i="6"/>
  <c r="J189" i="34"/>
  <c r="I189" i="34"/>
  <c r="C188" i="34"/>
  <c r="D188" i="34" s="1"/>
  <c r="E188" i="34" s="1"/>
  <c r="F188" i="34" s="1"/>
  <c r="G188" i="34" s="1"/>
  <c r="H188" i="34" s="1"/>
  <c r="J176" i="34"/>
  <c r="I176" i="34"/>
  <c r="C175" i="34"/>
  <c r="D175" i="34" s="1"/>
  <c r="E175" i="34" s="1"/>
  <c r="F175" i="34" s="1"/>
  <c r="G175" i="34" s="1"/>
  <c r="H175" i="34" s="1"/>
  <c r="J166" i="34"/>
  <c r="I166" i="34"/>
  <c r="C165" i="34"/>
  <c r="D165" i="34" s="1"/>
  <c r="E165" i="34" s="1"/>
  <c r="F165" i="34" s="1"/>
  <c r="G165" i="34" s="1"/>
  <c r="H165" i="34" s="1"/>
  <c r="J148" i="34"/>
  <c r="I148" i="34"/>
  <c r="J147" i="34"/>
  <c r="I147" i="34"/>
  <c r="J146" i="34"/>
  <c r="I146" i="34"/>
  <c r="J145" i="34"/>
  <c r="I145" i="34"/>
  <c r="J144" i="34"/>
  <c r="I144" i="34"/>
  <c r="J113" i="34"/>
  <c r="I113" i="34"/>
  <c r="C112" i="34"/>
  <c r="D112" i="34" s="1"/>
  <c r="E112" i="34" s="1"/>
  <c r="F112" i="34" s="1"/>
  <c r="G112" i="34" s="1"/>
  <c r="H112" i="34" s="1"/>
  <c r="J54" i="34"/>
  <c r="I54" i="34"/>
  <c r="C53" i="34"/>
  <c r="D53" i="34" s="1"/>
  <c r="E53" i="34" s="1"/>
  <c r="F53" i="34" s="1"/>
  <c r="G53" i="34" s="1"/>
  <c r="H53" i="34" s="1"/>
  <c r="J39" i="34"/>
  <c r="I39" i="34"/>
  <c r="C38" i="34"/>
  <c r="D38" i="34" s="1"/>
  <c r="E38" i="34" s="1"/>
  <c r="F38" i="34" s="1"/>
  <c r="G38" i="34" s="1"/>
  <c r="H38" i="34" s="1"/>
  <c r="J8" i="34"/>
  <c r="I8" i="34"/>
  <c r="C7" i="34"/>
  <c r="D7" i="34" s="1"/>
  <c r="E7" i="34" s="1"/>
  <c r="F7" i="34" s="1"/>
  <c r="G7" i="34" s="1"/>
  <c r="H7" i="34" s="1"/>
  <c r="J6" i="62" l="1"/>
  <c r="I6" i="62"/>
  <c r="C8" i="62"/>
  <c r="H12" i="36"/>
  <c r="J12" i="36" s="1"/>
  <c r="H16" i="18"/>
  <c r="G16" i="18"/>
  <c r="F16" i="18"/>
  <c r="H10" i="36"/>
  <c r="J10" i="36" s="1"/>
  <c r="C5" i="1"/>
  <c r="C5" i="62" s="1"/>
  <c r="G5" i="1"/>
  <c r="G5" i="62" s="1"/>
  <c r="G10" i="62" s="1"/>
  <c r="F5" i="1"/>
  <c r="F5" i="62" s="1"/>
  <c r="F10" i="62" s="1"/>
  <c r="H5" i="1"/>
  <c r="H5" i="62" s="1"/>
  <c r="H10" i="62" s="1"/>
  <c r="J79" i="10"/>
  <c r="I77" i="10"/>
  <c r="I85" i="10"/>
  <c r="I83" i="10"/>
  <c r="J77" i="10"/>
  <c r="I80" i="10"/>
  <c r="J81" i="10"/>
  <c r="J83" i="10"/>
  <c r="J84" i="10"/>
  <c r="J85" i="10"/>
  <c r="D5" i="1"/>
  <c r="D5" i="62" s="1"/>
  <c r="D10" i="62" s="1"/>
  <c r="E5" i="1"/>
  <c r="E5" i="62" s="1"/>
  <c r="E10" i="62" s="1"/>
  <c r="I79" i="10"/>
  <c r="I81" i="10"/>
  <c r="I84" i="10"/>
  <c r="J80" i="10"/>
  <c r="J82" i="10"/>
  <c r="I82" i="10"/>
  <c r="J78" i="10"/>
  <c r="I78" i="10"/>
  <c r="J7" i="18"/>
  <c r="I7" i="18"/>
  <c r="J6" i="1"/>
  <c r="I6" i="1"/>
  <c r="J8" i="62" l="1"/>
  <c r="I8" i="62"/>
  <c r="C10" i="62"/>
  <c r="J5" i="62"/>
  <c r="I5" i="62"/>
  <c r="D10" i="1"/>
  <c r="G10" i="1"/>
  <c r="F10" i="1"/>
  <c r="H10" i="1"/>
  <c r="E10" i="1"/>
  <c r="C10" i="1"/>
  <c r="C58" i="1" s="1"/>
  <c r="H9" i="36"/>
  <c r="I5" i="1"/>
  <c r="J5" i="1"/>
  <c r="J95" i="18"/>
  <c r="J110" i="18"/>
  <c r="J16" i="18"/>
  <c r="I16" i="18"/>
  <c r="I110" i="18"/>
  <c r="I95" i="18"/>
  <c r="J19" i="32"/>
  <c r="I19" i="32"/>
  <c r="J12" i="32"/>
  <c r="I12" i="32"/>
  <c r="J8" i="32"/>
  <c r="I8" i="32"/>
  <c r="C7" i="32"/>
  <c r="D7" i="32" s="1"/>
  <c r="E7" i="32" s="1"/>
  <c r="F7" i="32" s="1"/>
  <c r="G7" i="32" s="1"/>
  <c r="H7" i="32" s="1"/>
  <c r="C11" i="32"/>
  <c r="D11" i="32" s="1"/>
  <c r="E11" i="32" s="1"/>
  <c r="F11" i="32" s="1"/>
  <c r="G11" i="32" s="1"/>
  <c r="H11" i="32" s="1"/>
  <c r="C18" i="32"/>
  <c r="D18" i="32" s="1"/>
  <c r="E18" i="32" s="1"/>
  <c r="F18" i="32" s="1"/>
  <c r="G18" i="32" s="1"/>
  <c r="H18" i="32" s="1"/>
  <c r="C21" i="9"/>
  <c r="D21" i="9" s="1"/>
  <c r="E21" i="9" s="1"/>
  <c r="F21" i="9" s="1"/>
  <c r="G21" i="9" s="1"/>
  <c r="H21" i="9" s="1"/>
  <c r="C12" i="9"/>
  <c r="D12" i="9" s="1"/>
  <c r="E12" i="9" s="1"/>
  <c r="F12" i="9" s="1"/>
  <c r="G12" i="9" s="1"/>
  <c r="H12" i="9" s="1"/>
  <c r="C5" i="9"/>
  <c r="D5" i="9" s="1"/>
  <c r="E5" i="9" s="1"/>
  <c r="F5" i="9" s="1"/>
  <c r="G5" i="9" s="1"/>
  <c r="H5" i="9" s="1"/>
  <c r="J22" i="9"/>
  <c r="I22" i="9"/>
  <c r="J13" i="9"/>
  <c r="I13" i="9"/>
  <c r="J6" i="9"/>
  <c r="I6" i="9"/>
  <c r="I465" i="6"/>
  <c r="J465" i="6"/>
  <c r="J434" i="6"/>
  <c r="I434" i="6"/>
  <c r="J433" i="6"/>
  <c r="I433" i="6"/>
  <c r="J432" i="6"/>
  <c r="I432" i="6"/>
  <c r="J431" i="6"/>
  <c r="I431" i="6"/>
  <c r="J430" i="6"/>
  <c r="I430" i="6"/>
  <c r="J333" i="6"/>
  <c r="I333" i="6"/>
  <c r="C332" i="6"/>
  <c r="D332" i="6" s="1"/>
  <c r="E332" i="6" s="1"/>
  <c r="F332" i="6" s="1"/>
  <c r="G332" i="6" s="1"/>
  <c r="H332" i="6" s="1"/>
  <c r="J33" i="5"/>
  <c r="I33" i="5"/>
  <c r="J11" i="5"/>
  <c r="I11" i="5"/>
  <c r="J4" i="5"/>
  <c r="I4" i="5"/>
  <c r="J20" i="1"/>
  <c r="I20" i="1"/>
  <c r="J13" i="1"/>
  <c r="I13" i="1"/>
  <c r="J478" i="6"/>
  <c r="I478" i="6"/>
  <c r="J477" i="6"/>
  <c r="I477" i="6"/>
  <c r="J472" i="6"/>
  <c r="I472" i="6"/>
  <c r="J466" i="6"/>
  <c r="I466" i="6"/>
  <c r="J460" i="6"/>
  <c r="I460" i="6"/>
  <c r="J451" i="6"/>
  <c r="I451" i="6"/>
  <c r="J142" i="6"/>
  <c r="I142" i="6"/>
  <c r="I105" i="6"/>
  <c r="J8" i="6"/>
  <c r="I8" i="6"/>
  <c r="H16" i="1"/>
  <c r="H16" i="62" s="1"/>
  <c r="D16" i="1"/>
  <c r="D16" i="62" s="1"/>
  <c r="C16" i="1"/>
  <c r="C16" i="62" s="1"/>
  <c r="C471" i="6"/>
  <c r="D471" i="6" s="1"/>
  <c r="E471" i="6" s="1"/>
  <c r="F471" i="6" s="1"/>
  <c r="G471" i="6" s="1"/>
  <c r="H471" i="6" s="1"/>
  <c r="C459" i="6"/>
  <c r="D459" i="6" s="1"/>
  <c r="E459" i="6" s="1"/>
  <c r="F459" i="6" s="1"/>
  <c r="G459" i="6" s="1"/>
  <c r="H459" i="6" s="1"/>
  <c r="C450" i="6"/>
  <c r="D450" i="6" s="1"/>
  <c r="E450" i="6" s="1"/>
  <c r="F450" i="6" s="1"/>
  <c r="G450" i="6" s="1"/>
  <c r="H450" i="6" s="1"/>
  <c r="C141" i="6"/>
  <c r="C104" i="6"/>
  <c r="D104" i="6" s="1"/>
  <c r="E104" i="6" s="1"/>
  <c r="F104" i="6" s="1"/>
  <c r="G104" i="6" s="1"/>
  <c r="H104" i="6" s="1"/>
  <c r="C7" i="6"/>
  <c r="D7" i="6" s="1"/>
  <c r="E7" i="6" s="1"/>
  <c r="F7" i="6" s="1"/>
  <c r="G7" i="6" s="1"/>
  <c r="H7" i="6" s="1"/>
  <c r="C32" i="5"/>
  <c r="D32" i="5" s="1"/>
  <c r="E32" i="5" s="1"/>
  <c r="F32" i="5" s="1"/>
  <c r="G32" i="5" s="1"/>
  <c r="H32" i="5" s="1"/>
  <c r="C10" i="5"/>
  <c r="C3" i="5"/>
  <c r="D3" i="5" s="1"/>
  <c r="E3" i="5" s="1"/>
  <c r="F3" i="5" s="1"/>
  <c r="G3" i="5" s="1"/>
  <c r="H3" i="5" s="1"/>
  <c r="C19" i="1"/>
  <c r="C103" i="18"/>
  <c r="C98" i="18"/>
  <c r="D98" i="18" s="1"/>
  <c r="E98" i="18" s="1"/>
  <c r="F98" i="18" s="1"/>
  <c r="G98" i="18" s="1"/>
  <c r="H98" i="18" s="1"/>
  <c r="C20" i="18"/>
  <c r="D20" i="18" s="1"/>
  <c r="E20" i="18" s="1"/>
  <c r="F20" i="18" s="1"/>
  <c r="G20" i="18" s="1"/>
  <c r="H20" i="18" s="1"/>
  <c r="H101" i="18"/>
  <c r="G101" i="18"/>
  <c r="F101" i="18"/>
  <c r="E101" i="18"/>
  <c r="D101" i="18"/>
  <c r="C101" i="18"/>
  <c r="J104" i="18"/>
  <c r="I104" i="18"/>
  <c r="J99" i="18"/>
  <c r="I99" i="18"/>
  <c r="J109" i="18"/>
  <c r="J108" i="18"/>
  <c r="J106" i="18"/>
  <c r="J105" i="18"/>
  <c r="J100" i="18"/>
  <c r="J93" i="18"/>
  <c r="J71" i="18"/>
  <c r="J70" i="18"/>
  <c r="J69" i="18"/>
  <c r="J68" i="18"/>
  <c r="J67" i="18"/>
  <c r="J64" i="18"/>
  <c r="J63" i="18"/>
  <c r="J62" i="18"/>
  <c r="J61" i="18"/>
  <c r="J60" i="18"/>
  <c r="J56" i="18"/>
  <c r="J55" i="18"/>
  <c r="J54" i="18"/>
  <c r="J53" i="18"/>
  <c r="J52" i="18"/>
  <c r="J49" i="18"/>
  <c r="J48" i="18"/>
  <c r="J47" i="18"/>
  <c r="J46" i="18"/>
  <c r="J45" i="18"/>
  <c r="J42" i="18"/>
  <c r="J40" i="18"/>
  <c r="J39" i="18"/>
  <c r="J38" i="18"/>
  <c r="J37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1" i="18"/>
  <c r="I109" i="18"/>
  <c r="I108" i="18"/>
  <c r="I106" i="18"/>
  <c r="I105" i="18"/>
  <c r="I100" i="18"/>
  <c r="I93" i="18"/>
  <c r="I71" i="18"/>
  <c r="I70" i="18"/>
  <c r="I69" i="18"/>
  <c r="I68" i="18"/>
  <c r="I67" i="18"/>
  <c r="I64" i="18"/>
  <c r="I63" i="18"/>
  <c r="I62" i="18"/>
  <c r="I61" i="18"/>
  <c r="I60" i="18"/>
  <c r="I56" i="18"/>
  <c r="I55" i="18"/>
  <c r="I54" i="18"/>
  <c r="I53" i="18"/>
  <c r="I52" i="18"/>
  <c r="I49" i="18"/>
  <c r="I48" i="18"/>
  <c r="I47" i="18"/>
  <c r="I46" i="18"/>
  <c r="I45" i="18"/>
  <c r="I42" i="18"/>
  <c r="I40" i="18"/>
  <c r="I39" i="18"/>
  <c r="I38" i="18"/>
  <c r="I37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1" i="18"/>
  <c r="D22" i="18"/>
  <c r="E22" i="18"/>
  <c r="F22" i="18"/>
  <c r="G22" i="18"/>
  <c r="H22" i="18"/>
  <c r="C22" i="18"/>
  <c r="J10" i="62" l="1"/>
  <c r="I10" i="62"/>
  <c r="H14" i="36"/>
  <c r="J14" i="36" s="1"/>
  <c r="J9" i="36"/>
  <c r="C15" i="1"/>
  <c r="C15" i="62" s="1"/>
  <c r="E15" i="1"/>
  <c r="E15" i="62" s="1"/>
  <c r="F15" i="1"/>
  <c r="F15" i="62" s="1"/>
  <c r="G15" i="1"/>
  <c r="G15" i="62" s="1"/>
  <c r="H15" i="1"/>
  <c r="H15" i="62" s="1"/>
  <c r="D15" i="1"/>
  <c r="D15" i="62" s="1"/>
  <c r="J10" i="1"/>
  <c r="I10" i="1"/>
  <c r="D141" i="6"/>
  <c r="E141" i="6" s="1"/>
  <c r="F141" i="6" s="1"/>
  <c r="G141" i="6" s="1"/>
  <c r="H141" i="6" s="1"/>
  <c r="D19" i="1"/>
  <c r="D10" i="5"/>
  <c r="E10" i="5" s="1"/>
  <c r="F10" i="5" s="1"/>
  <c r="G10" i="5" s="1"/>
  <c r="H10" i="5" s="1"/>
  <c r="H19" i="36"/>
  <c r="H20" i="36"/>
  <c r="H96" i="18"/>
  <c r="D103" i="18"/>
  <c r="E16" i="1"/>
  <c r="E16" i="62" s="1"/>
  <c r="I107" i="18"/>
  <c r="I101" i="18"/>
  <c r="J101" i="18"/>
  <c r="G96" i="18"/>
  <c r="D96" i="18"/>
  <c r="F96" i="18"/>
  <c r="J59" i="18"/>
  <c r="I59" i="18"/>
  <c r="E96" i="18"/>
  <c r="J44" i="18"/>
  <c r="I44" i="18"/>
  <c r="C96" i="18"/>
  <c r="I22" i="18"/>
  <c r="J22" i="18"/>
  <c r="J15" i="1" l="1"/>
  <c r="J15" i="62"/>
  <c r="I15" i="62"/>
  <c r="I15" i="1"/>
  <c r="J20" i="36"/>
  <c r="J19" i="36"/>
  <c r="H14" i="1"/>
  <c r="H14" i="62" s="1"/>
  <c r="H17" i="62" s="1"/>
  <c r="E19" i="1"/>
  <c r="F16" i="1"/>
  <c r="F16" i="62" s="1"/>
  <c r="E103" i="18"/>
  <c r="C14" i="1"/>
  <c r="C14" i="62" s="1"/>
  <c r="G14" i="1"/>
  <c r="G14" i="62" s="1"/>
  <c r="E14" i="1"/>
  <c r="E14" i="62" s="1"/>
  <c r="E17" i="62" s="1"/>
  <c r="D14" i="1"/>
  <c r="D14" i="62" s="1"/>
  <c r="D17" i="62" s="1"/>
  <c r="I43" i="18"/>
  <c r="J43" i="18"/>
  <c r="C17" i="62" l="1"/>
  <c r="H17" i="1"/>
  <c r="H59" i="1" s="1"/>
  <c r="H18" i="36"/>
  <c r="F19" i="1"/>
  <c r="E14" i="31"/>
  <c r="J107" i="18"/>
  <c r="E17" i="1"/>
  <c r="E59" i="1" s="1"/>
  <c r="D45" i="1"/>
  <c r="C17" i="1"/>
  <c r="C59" i="1" s="1"/>
  <c r="C45" i="1"/>
  <c r="D58" i="1"/>
  <c r="F103" i="18"/>
  <c r="J96" i="18"/>
  <c r="I96" i="18"/>
  <c r="D17" i="1"/>
  <c r="D59" i="1" s="1"/>
  <c r="F14" i="1"/>
  <c r="F14" i="62" s="1"/>
  <c r="F17" i="62" s="1"/>
  <c r="K8" i="28"/>
  <c r="K8" i="31"/>
  <c r="D47" i="15"/>
  <c r="H47" i="15"/>
  <c r="N62" i="15"/>
  <c r="M62" i="15"/>
  <c r="N61" i="15"/>
  <c r="M61" i="15"/>
  <c r="N46" i="15"/>
  <c r="M46" i="15"/>
  <c r="N9" i="15"/>
  <c r="M9" i="15"/>
  <c r="N8" i="15"/>
  <c r="M8" i="15"/>
  <c r="N26" i="28"/>
  <c r="N21" i="28"/>
  <c r="P63" i="16"/>
  <c r="P60" i="16"/>
  <c r="P59" i="16"/>
  <c r="P58" i="16"/>
  <c r="P57" i="16"/>
  <c r="P55" i="16"/>
  <c r="P54" i="16"/>
  <c r="P53" i="16"/>
  <c r="P63" i="15"/>
  <c r="P60" i="15"/>
  <c r="P59" i="15"/>
  <c r="P58" i="15"/>
  <c r="P57" i="15"/>
  <c r="P55" i="15"/>
  <c r="P54" i="15"/>
  <c r="P53" i="15"/>
  <c r="N23" i="23"/>
  <c r="M23" i="23"/>
  <c r="L23" i="23"/>
  <c r="K23" i="23"/>
  <c r="N22" i="23"/>
  <c r="M22" i="23"/>
  <c r="L22" i="23"/>
  <c r="K22" i="23"/>
  <c r="N21" i="23"/>
  <c r="M21" i="23"/>
  <c r="L21" i="23"/>
  <c r="K21" i="23"/>
  <c r="N19" i="23"/>
  <c r="M19" i="23"/>
  <c r="L19" i="23"/>
  <c r="K19" i="23"/>
  <c r="N16" i="23"/>
  <c r="M16" i="23"/>
  <c r="L16" i="23"/>
  <c r="K16" i="23"/>
  <c r="N15" i="23"/>
  <c r="M15" i="23"/>
  <c r="L15" i="23"/>
  <c r="K15" i="23"/>
  <c r="N14" i="23"/>
  <c r="M14" i="23"/>
  <c r="L14" i="23"/>
  <c r="L13" i="23" s="1"/>
  <c r="K14" i="23"/>
  <c r="N12" i="23"/>
  <c r="L8" i="23"/>
  <c r="N7" i="23"/>
  <c r="N6" i="23"/>
  <c r="N8" i="23" s="1"/>
  <c r="M8" i="23"/>
  <c r="K8" i="23"/>
  <c r="N5" i="23"/>
  <c r="M23" i="21"/>
  <c r="L23" i="21"/>
  <c r="K23" i="21"/>
  <c r="M22" i="21"/>
  <c r="L22" i="21"/>
  <c r="K22" i="21"/>
  <c r="M21" i="21"/>
  <c r="L21" i="21"/>
  <c r="K21" i="21"/>
  <c r="M19" i="21"/>
  <c r="L19" i="21"/>
  <c r="K19" i="21"/>
  <c r="M18" i="21"/>
  <c r="L18" i="21"/>
  <c r="K18" i="21"/>
  <c r="M15" i="21"/>
  <c r="L15" i="21"/>
  <c r="K15" i="21"/>
  <c r="M14" i="21"/>
  <c r="L14" i="21"/>
  <c r="K14" i="21"/>
  <c r="N12" i="21"/>
  <c r="N5" i="21"/>
  <c r="N62" i="16"/>
  <c r="M62" i="16"/>
  <c r="L62" i="16"/>
  <c r="K62" i="16"/>
  <c r="N61" i="16"/>
  <c r="M61" i="16"/>
  <c r="L61" i="16"/>
  <c r="K61" i="16"/>
  <c r="N51" i="16"/>
  <c r="N46" i="16"/>
  <c r="M46" i="16"/>
  <c r="L46" i="16"/>
  <c r="K46" i="16"/>
  <c r="K47" i="16" s="1"/>
  <c r="N44" i="16"/>
  <c r="N38" i="16"/>
  <c r="N37" i="16"/>
  <c r="N36" i="16"/>
  <c r="N35" i="16"/>
  <c r="N33" i="16" s="1"/>
  <c r="N34" i="16"/>
  <c r="M34" i="16"/>
  <c r="L34" i="16"/>
  <c r="K34" i="16"/>
  <c r="N32" i="16"/>
  <c r="N31" i="16"/>
  <c r="N30" i="16"/>
  <c r="N29" i="16"/>
  <c r="N27" i="16" s="1"/>
  <c r="N28" i="16"/>
  <c r="M28" i="16"/>
  <c r="L28" i="16"/>
  <c r="K28" i="16"/>
  <c r="N26" i="16"/>
  <c r="N25" i="16"/>
  <c r="N24" i="16"/>
  <c r="N23" i="16"/>
  <c r="N21" i="16" s="1"/>
  <c r="N20" i="16"/>
  <c r="N19" i="16"/>
  <c r="N18" i="16"/>
  <c r="N17" i="16"/>
  <c r="N14" i="16"/>
  <c r="N6" i="16"/>
  <c r="L62" i="15"/>
  <c r="K62" i="15"/>
  <c r="L61" i="15"/>
  <c r="K61" i="15"/>
  <c r="N51" i="15"/>
  <c r="L46" i="15"/>
  <c r="K46" i="15"/>
  <c r="N44" i="15"/>
  <c r="M34" i="15"/>
  <c r="L34" i="15"/>
  <c r="K34" i="15"/>
  <c r="C33" i="15"/>
  <c r="D33" i="15"/>
  <c r="M28" i="15"/>
  <c r="L28" i="15"/>
  <c r="K28" i="15"/>
  <c r="N14" i="15"/>
  <c r="N6" i="15"/>
  <c r="M26" i="28"/>
  <c r="L26" i="28"/>
  <c r="K26" i="28"/>
  <c r="M21" i="28"/>
  <c r="L21" i="28"/>
  <c r="K21" i="28"/>
  <c r="N20" i="21"/>
  <c r="E13" i="21"/>
  <c r="E27" i="21" s="1"/>
  <c r="E29" i="21" s="1"/>
  <c r="H13" i="21"/>
  <c r="I13" i="21"/>
  <c r="I27" i="21" s="1"/>
  <c r="I29" i="21" s="1"/>
  <c r="C13" i="21"/>
  <c r="F8" i="21"/>
  <c r="G8" i="21"/>
  <c r="L6" i="21"/>
  <c r="L8" i="21" s="1"/>
  <c r="D17" i="23"/>
  <c r="L24" i="23"/>
  <c r="N24" i="23"/>
  <c r="G17" i="23"/>
  <c r="G27" i="23" s="1"/>
  <c r="F17" i="23"/>
  <c r="C17" i="21"/>
  <c r="K25" i="21"/>
  <c r="K25" i="23"/>
  <c r="K16" i="21"/>
  <c r="K13" i="21"/>
  <c r="L25" i="23"/>
  <c r="N25" i="23"/>
  <c r="K9" i="15"/>
  <c r="I15" i="31"/>
  <c r="H15" i="31"/>
  <c r="G15" i="31"/>
  <c r="F15" i="31"/>
  <c r="E15" i="31"/>
  <c r="D15" i="31"/>
  <c r="C15" i="31"/>
  <c r="H14" i="31"/>
  <c r="D14" i="31"/>
  <c r="C14" i="31"/>
  <c r="I6" i="31"/>
  <c r="H6" i="31"/>
  <c r="G6" i="31"/>
  <c r="F6" i="31"/>
  <c r="E6" i="31"/>
  <c r="D6" i="31"/>
  <c r="C6" i="31"/>
  <c r="H5" i="31"/>
  <c r="E5" i="31"/>
  <c r="D5" i="31"/>
  <c r="C5" i="31"/>
  <c r="H28" i="29"/>
  <c r="G28" i="29"/>
  <c r="F28" i="29"/>
  <c r="E28" i="29"/>
  <c r="D28" i="29"/>
  <c r="C28" i="29"/>
  <c r="B28" i="29"/>
  <c r="H24" i="29"/>
  <c r="G24" i="29"/>
  <c r="F24" i="29"/>
  <c r="E24" i="29"/>
  <c r="D24" i="29"/>
  <c r="C24" i="29"/>
  <c r="C33" i="29" s="1"/>
  <c r="B24" i="29"/>
  <c r="C8" i="23"/>
  <c r="I13" i="23"/>
  <c r="H13" i="23"/>
  <c r="G13" i="23"/>
  <c r="F13" i="23"/>
  <c r="F27" i="23"/>
  <c r="F29" i="23"/>
  <c r="E13" i="23"/>
  <c r="D13" i="23"/>
  <c r="D27" i="23"/>
  <c r="D29" i="23" s="1"/>
  <c r="C13" i="23"/>
  <c r="C27" i="23" s="1"/>
  <c r="C29" i="23" s="1"/>
  <c r="N23" i="21"/>
  <c r="N22" i="21"/>
  <c r="N21" i="21"/>
  <c r="N19" i="21"/>
  <c r="N17" i="21" s="1"/>
  <c r="N18" i="21"/>
  <c r="H17" i="21"/>
  <c r="F17" i="21"/>
  <c r="N15" i="21"/>
  <c r="N14" i="21"/>
  <c r="G13" i="21"/>
  <c r="G27" i="21" s="1"/>
  <c r="G29" i="21" s="1"/>
  <c r="I8" i="23"/>
  <c r="H8" i="23"/>
  <c r="G8" i="23"/>
  <c r="F8" i="23"/>
  <c r="E8" i="23"/>
  <c r="D8" i="23"/>
  <c r="I8" i="21"/>
  <c r="H8" i="21"/>
  <c r="E8" i="21"/>
  <c r="D8" i="21"/>
  <c r="N7" i="21"/>
  <c r="I27" i="16"/>
  <c r="I33" i="16"/>
  <c r="H27" i="16"/>
  <c r="L27" i="16" s="1"/>
  <c r="H33" i="16"/>
  <c r="G27" i="16"/>
  <c r="G33" i="16"/>
  <c r="F27" i="16"/>
  <c r="F33" i="16"/>
  <c r="E27" i="16"/>
  <c r="E33" i="16"/>
  <c r="D27" i="16"/>
  <c r="D39" i="16" s="1"/>
  <c r="D33" i="16"/>
  <c r="C27" i="16"/>
  <c r="M27" i="16" s="1"/>
  <c r="C33" i="16"/>
  <c r="K33" i="16" s="1"/>
  <c r="N35" i="15"/>
  <c r="N33" i="15" s="1"/>
  <c r="C27" i="15"/>
  <c r="D27" i="15"/>
  <c r="E33" i="15"/>
  <c r="F33" i="15"/>
  <c r="G33" i="15"/>
  <c r="H33" i="15"/>
  <c r="I33" i="15"/>
  <c r="N38" i="15"/>
  <c r="N37" i="15"/>
  <c r="N36" i="15"/>
  <c r="N34" i="15"/>
  <c r="N32" i="15"/>
  <c r="N31" i="15"/>
  <c r="N30" i="15"/>
  <c r="N29" i="15"/>
  <c r="N28" i="15"/>
  <c r="N26" i="15"/>
  <c r="N25" i="15"/>
  <c r="N24" i="15"/>
  <c r="N23" i="15"/>
  <c r="N20" i="15"/>
  <c r="N19" i="15"/>
  <c r="N18" i="15"/>
  <c r="N17" i="15"/>
  <c r="I27" i="15"/>
  <c r="H27" i="15"/>
  <c r="G27" i="15"/>
  <c r="F27" i="15"/>
  <c r="L27" i="15" s="1"/>
  <c r="E27" i="15"/>
  <c r="B17" i="29"/>
  <c r="C17" i="29"/>
  <c r="D17" i="29"/>
  <c r="E17" i="29"/>
  <c r="F17" i="29"/>
  <c r="G17" i="29"/>
  <c r="H17" i="29"/>
  <c r="I15" i="28"/>
  <c r="H15" i="28"/>
  <c r="G15" i="28"/>
  <c r="F15" i="28"/>
  <c r="E15" i="28"/>
  <c r="D15" i="28"/>
  <c r="C15" i="28"/>
  <c r="H14" i="28"/>
  <c r="E14" i="28"/>
  <c r="D14" i="28"/>
  <c r="C14" i="28"/>
  <c r="I6" i="28"/>
  <c r="H6" i="28"/>
  <c r="G6" i="28"/>
  <c r="F6" i="28"/>
  <c r="E6" i="28"/>
  <c r="D6" i="28"/>
  <c r="C6" i="28"/>
  <c r="H5" i="28"/>
  <c r="E5" i="28"/>
  <c r="D5" i="28"/>
  <c r="C5" i="28"/>
  <c r="L8" i="15"/>
  <c r="I17" i="23"/>
  <c r="I27" i="23"/>
  <c r="I29" i="23"/>
  <c r="I17" i="21"/>
  <c r="K8" i="15"/>
  <c r="L9" i="15"/>
  <c r="M25" i="23"/>
  <c r="K20" i="23"/>
  <c r="E17" i="21"/>
  <c r="M20" i="21"/>
  <c r="K20" i="21"/>
  <c r="D17" i="21"/>
  <c r="M25" i="21"/>
  <c r="K24" i="21"/>
  <c r="D47" i="16"/>
  <c r="F47" i="16"/>
  <c r="H47" i="16"/>
  <c r="I47" i="16"/>
  <c r="G47" i="16"/>
  <c r="D10" i="16"/>
  <c r="G10" i="16"/>
  <c r="K9" i="16"/>
  <c r="N9" i="16"/>
  <c r="E47" i="15"/>
  <c r="I47" i="15"/>
  <c r="F47" i="15"/>
  <c r="C27" i="21"/>
  <c r="C29" i="21" s="1"/>
  <c r="M13" i="23"/>
  <c r="H27" i="21"/>
  <c r="H29" i="21"/>
  <c r="C17" i="23"/>
  <c r="K18" i="23"/>
  <c r="K17" i="23" s="1"/>
  <c r="N18" i="23"/>
  <c r="I10" i="16"/>
  <c r="K24" i="23"/>
  <c r="M18" i="23"/>
  <c r="H10" i="16"/>
  <c r="N7" i="16"/>
  <c r="C47" i="16"/>
  <c r="M45" i="16"/>
  <c r="M47" i="16" s="1"/>
  <c r="M24" i="23"/>
  <c r="N25" i="21"/>
  <c r="L25" i="21"/>
  <c r="H17" i="23"/>
  <c r="N20" i="23"/>
  <c r="M20" i="23"/>
  <c r="M17" i="23" s="1"/>
  <c r="M27" i="23" s="1"/>
  <c r="M29" i="23" s="1"/>
  <c r="L16" i="21"/>
  <c r="F13" i="21"/>
  <c r="L8" i="16"/>
  <c r="N6" i="21"/>
  <c r="N8" i="21" s="1"/>
  <c r="D13" i="21"/>
  <c r="D27" i="21" s="1"/>
  <c r="D29" i="21" s="1"/>
  <c r="N16" i="21"/>
  <c r="M16" i="21"/>
  <c r="M13" i="21"/>
  <c r="N24" i="21"/>
  <c r="L24" i="21"/>
  <c r="M24" i="21"/>
  <c r="G17" i="21"/>
  <c r="L20" i="21"/>
  <c r="C8" i="21"/>
  <c r="K6" i="21"/>
  <c r="K8" i="21" s="1"/>
  <c r="M6" i="21"/>
  <c r="M8" i="21"/>
  <c r="G29" i="23"/>
  <c r="L20" i="23"/>
  <c r="L18" i="23"/>
  <c r="E17" i="23"/>
  <c r="E27" i="23" s="1"/>
  <c r="E29" i="23" s="1"/>
  <c r="M8" i="31"/>
  <c r="K7" i="31"/>
  <c r="N8" i="31"/>
  <c r="L8" i="31"/>
  <c r="L9" i="31"/>
  <c r="L7" i="28"/>
  <c r="M9" i="31"/>
  <c r="N9" i="31"/>
  <c r="K9" i="28"/>
  <c r="K7" i="28"/>
  <c r="K9" i="31"/>
  <c r="N7" i="28"/>
  <c r="N7" i="31"/>
  <c r="L7" i="31"/>
  <c r="M7" i="28"/>
  <c r="M7" i="31"/>
  <c r="L8" i="28"/>
  <c r="N9" i="28"/>
  <c r="M9" i="28"/>
  <c r="N8" i="28"/>
  <c r="L9" i="28"/>
  <c r="M8" i="28"/>
  <c r="E10" i="16"/>
  <c r="M8" i="16"/>
  <c r="K45" i="16"/>
  <c r="F10" i="16"/>
  <c r="L9" i="16"/>
  <c r="L7" i="16"/>
  <c r="N8" i="16"/>
  <c r="L45" i="15"/>
  <c r="N45" i="15"/>
  <c r="N47" i="15" s="1"/>
  <c r="K8" i="16"/>
  <c r="C10" i="16"/>
  <c r="L45" i="16"/>
  <c r="L47" i="16"/>
  <c r="L55" i="15"/>
  <c r="N55" i="15"/>
  <c r="M9" i="16"/>
  <c r="E47" i="16"/>
  <c r="N45" i="16"/>
  <c r="N47" i="16" s="1"/>
  <c r="M7" i="16"/>
  <c r="K7" i="16"/>
  <c r="G47" i="15"/>
  <c r="K45" i="15"/>
  <c r="K47" i="15" s="1"/>
  <c r="K55" i="15"/>
  <c r="M55" i="15"/>
  <c r="M45" i="15"/>
  <c r="M47" i="15" s="1"/>
  <c r="C47" i="15"/>
  <c r="N17" i="23"/>
  <c r="L10" i="16"/>
  <c r="D10" i="15"/>
  <c r="F10" i="15"/>
  <c r="K65" i="15"/>
  <c r="E10" i="15"/>
  <c r="K7" i="15"/>
  <c r="C10" i="15"/>
  <c r="H10" i="15"/>
  <c r="G10" i="15"/>
  <c r="I10" i="15"/>
  <c r="L7" i="15"/>
  <c r="N7" i="15"/>
  <c r="N10" i="15" s="1"/>
  <c r="M7" i="15"/>
  <c r="M10" i="15" s="1"/>
  <c r="N65" i="15"/>
  <c r="M65" i="15"/>
  <c r="L65" i="15"/>
  <c r="L55" i="16"/>
  <c r="K55" i="16"/>
  <c r="M55" i="16"/>
  <c r="N55" i="16"/>
  <c r="C15" i="15"/>
  <c r="D15" i="15"/>
  <c r="K15" i="15" s="1"/>
  <c r="E15" i="15"/>
  <c r="F15" i="15"/>
  <c r="F39" i="15" s="1"/>
  <c r="G15" i="15"/>
  <c r="H15" i="15"/>
  <c r="H54" i="15" s="1"/>
  <c r="H52" i="15" s="1"/>
  <c r="H66" i="15" s="1"/>
  <c r="H68" i="15" s="1"/>
  <c r="I15" i="15"/>
  <c r="I54" i="15" s="1"/>
  <c r="I52" i="15" s="1"/>
  <c r="N16" i="15"/>
  <c r="N15" i="15" s="1"/>
  <c r="M53" i="15"/>
  <c r="N53" i="15"/>
  <c r="K53" i="15"/>
  <c r="N59" i="15"/>
  <c r="L59" i="15"/>
  <c r="K64" i="15"/>
  <c r="M64" i="15"/>
  <c r="N64" i="15"/>
  <c r="M16" i="15"/>
  <c r="L64" i="15"/>
  <c r="M59" i="15"/>
  <c r="L53" i="15"/>
  <c r="K16" i="15"/>
  <c r="K59" i="15"/>
  <c r="L16" i="15"/>
  <c r="C54" i="15"/>
  <c r="C15" i="16"/>
  <c r="K15" i="16" s="1"/>
  <c r="K39" i="16" s="1"/>
  <c r="C54" i="16"/>
  <c r="C52" i="16" s="1"/>
  <c r="D15" i="16"/>
  <c r="E15" i="16"/>
  <c r="E54" i="16"/>
  <c r="F15" i="16"/>
  <c r="G15" i="16"/>
  <c r="G54" i="16" s="1"/>
  <c r="G52" i="16" s="1"/>
  <c r="H15" i="16"/>
  <c r="H54" i="16" s="1"/>
  <c r="I15" i="16"/>
  <c r="L16" i="16"/>
  <c r="N53" i="16"/>
  <c r="M59" i="16"/>
  <c r="L59" i="16"/>
  <c r="N59" i="16"/>
  <c r="M64" i="16"/>
  <c r="N64" i="16"/>
  <c r="K64" i="16"/>
  <c r="M22" i="16"/>
  <c r="K53" i="16"/>
  <c r="N16" i="16"/>
  <c r="K59" i="16"/>
  <c r="M16" i="16"/>
  <c r="L64" i="16"/>
  <c r="M53" i="16"/>
  <c r="K16" i="16"/>
  <c r="H21" i="16"/>
  <c r="H39" i="16" s="1"/>
  <c r="H21" i="15"/>
  <c r="D21" i="16"/>
  <c r="D58" i="16"/>
  <c r="D56" i="16" s="1"/>
  <c r="D21" i="15"/>
  <c r="K21" i="15" s="1"/>
  <c r="L53" i="16"/>
  <c r="G21" i="15"/>
  <c r="G58" i="15" s="1"/>
  <c r="G56" i="15" s="1"/>
  <c r="G21" i="16"/>
  <c r="K22" i="16"/>
  <c r="C21" i="16"/>
  <c r="F21" i="15"/>
  <c r="F58" i="15" s="1"/>
  <c r="F21" i="16"/>
  <c r="F58" i="16"/>
  <c r="I21" i="15"/>
  <c r="I21" i="16"/>
  <c r="E21" i="16"/>
  <c r="E58" i="16" s="1"/>
  <c r="L22" i="16"/>
  <c r="N22" i="16"/>
  <c r="I58" i="16"/>
  <c r="I56" i="16" s="1"/>
  <c r="K60" i="16"/>
  <c r="M60" i="16"/>
  <c r="N60" i="16"/>
  <c r="G58" i="16"/>
  <c r="G56" i="16" s="1"/>
  <c r="D58" i="15"/>
  <c r="M63" i="16"/>
  <c r="N63" i="16"/>
  <c r="K63" i="16"/>
  <c r="M57" i="16"/>
  <c r="N57" i="16"/>
  <c r="K57" i="16"/>
  <c r="I58" i="15"/>
  <c r="I39" i="15"/>
  <c r="L60" i="16"/>
  <c r="N22" i="15"/>
  <c r="K22" i="15"/>
  <c r="C21" i="15"/>
  <c r="M22" i="15"/>
  <c r="E21" i="15"/>
  <c r="E58" i="15" s="1"/>
  <c r="M21" i="15"/>
  <c r="L22" i="15"/>
  <c r="L57" i="16"/>
  <c r="L63" i="16"/>
  <c r="H58" i="16"/>
  <c r="H56" i="16" s="1"/>
  <c r="C39" i="15"/>
  <c r="K19" i="28"/>
  <c r="N18" i="28"/>
  <c r="K18" i="28"/>
  <c r="N25" i="28"/>
  <c r="G16" i="28"/>
  <c r="G29" i="28" s="1"/>
  <c r="N28" i="28"/>
  <c r="L17" i="28"/>
  <c r="M27" i="28"/>
  <c r="M17" i="28"/>
  <c r="M22" i="28"/>
  <c r="D20" i="28"/>
  <c r="L24" i="28"/>
  <c r="L23" i="28"/>
  <c r="L25" i="28"/>
  <c r="M25" i="28"/>
  <c r="L19" i="28"/>
  <c r="M19" i="28"/>
  <c r="L28" i="28"/>
  <c r="C20" i="28"/>
  <c r="N24" i="28"/>
  <c r="M24" i="28"/>
  <c r="K24" i="28"/>
  <c r="I20" i="28"/>
  <c r="K27" i="28"/>
  <c r="N23" i="28"/>
  <c r="K22" i="28"/>
  <c r="F20" i="28"/>
  <c r="H20" i="28"/>
  <c r="M28" i="28"/>
  <c r="L27" i="28"/>
  <c r="K25" i="28"/>
  <c r="M23" i="28"/>
  <c r="L22" i="28"/>
  <c r="G20" i="28"/>
  <c r="L18" i="28"/>
  <c r="K28" i="28"/>
  <c r="N27" i="28"/>
  <c r="K23" i="28"/>
  <c r="N22" i="28"/>
  <c r="E20" i="28"/>
  <c r="N19" i="28"/>
  <c r="H16" i="28"/>
  <c r="D16" i="28"/>
  <c r="K16" i="28" s="1"/>
  <c r="N17" i="28"/>
  <c r="K17" i="28"/>
  <c r="C16" i="28"/>
  <c r="I16" i="28"/>
  <c r="I29" i="28"/>
  <c r="E16" i="28"/>
  <c r="E29" i="28" s="1"/>
  <c r="M18" i="28"/>
  <c r="F16" i="28"/>
  <c r="B7" i="29"/>
  <c r="C7" i="29"/>
  <c r="C14" i="29" s="1"/>
  <c r="D7" i="29"/>
  <c r="E7" i="29"/>
  <c r="F7" i="29"/>
  <c r="F14" i="29" s="1"/>
  <c r="G7" i="29"/>
  <c r="G14" i="29" s="1"/>
  <c r="H7" i="29"/>
  <c r="M19" i="31"/>
  <c r="K19" i="31"/>
  <c r="N19" i="31"/>
  <c r="K28" i="31"/>
  <c r="M28" i="31"/>
  <c r="N28" i="31"/>
  <c r="N22" i="31"/>
  <c r="M22" i="31"/>
  <c r="K22" i="31"/>
  <c r="G16" i="31"/>
  <c r="G29" i="31" s="1"/>
  <c r="H16" i="31"/>
  <c r="N16" i="31" s="1"/>
  <c r="L24" i="31"/>
  <c r="E20" i="31"/>
  <c r="L21" i="31"/>
  <c r="L25" i="31"/>
  <c r="F16" i="31"/>
  <c r="K17" i="31"/>
  <c r="N17" i="31"/>
  <c r="M17" i="31"/>
  <c r="C16" i="31"/>
  <c r="M23" i="31"/>
  <c r="K23" i="31"/>
  <c r="N23" i="31"/>
  <c r="N21" i="31"/>
  <c r="K21" i="31"/>
  <c r="C20" i="31"/>
  <c r="K20" i="31" s="1"/>
  <c r="M21" i="31"/>
  <c r="G20" i="31"/>
  <c r="D16" i="31"/>
  <c r="M16" i="31" s="1"/>
  <c r="H20" i="31"/>
  <c r="L22" i="31"/>
  <c r="L26" i="31"/>
  <c r="L19" i="31"/>
  <c r="I16" i="31"/>
  <c r="I29" i="31" s="1"/>
  <c r="N24" i="31"/>
  <c r="K24" i="31"/>
  <c r="M24" i="31"/>
  <c r="N25" i="31"/>
  <c r="K25" i="31"/>
  <c r="M25" i="31"/>
  <c r="D20" i="31"/>
  <c r="D29" i="31" s="1"/>
  <c r="L28" i="31"/>
  <c r="L23" i="31"/>
  <c r="M26" i="31"/>
  <c r="K26" i="31"/>
  <c r="N26" i="31"/>
  <c r="M18" i="31"/>
  <c r="K18" i="31"/>
  <c r="N18" i="31"/>
  <c r="N27" i="31"/>
  <c r="K27" i="31"/>
  <c r="M27" i="31"/>
  <c r="L17" i="31"/>
  <c r="E16" i="31"/>
  <c r="E29" i="31"/>
  <c r="L27" i="31"/>
  <c r="L18" i="31"/>
  <c r="I20" i="31"/>
  <c r="F20" i="31"/>
  <c r="F29" i="31" s="1"/>
  <c r="K16" i="31"/>
  <c r="D56" i="15"/>
  <c r="F56" i="15"/>
  <c r="I56" i="15"/>
  <c r="I66" i="15" s="1"/>
  <c r="I68" i="15" s="1"/>
  <c r="K57" i="15"/>
  <c r="L57" i="15"/>
  <c r="M57" i="15"/>
  <c r="N57" i="15"/>
  <c r="K60" i="15"/>
  <c r="L60" i="15"/>
  <c r="M60" i="15"/>
  <c r="N60" i="15"/>
  <c r="K63" i="15"/>
  <c r="L63" i="15"/>
  <c r="M63" i="15"/>
  <c r="N63" i="15"/>
  <c r="F32" i="29"/>
  <c r="F37" i="29" s="1"/>
  <c r="G32" i="29"/>
  <c r="G37" i="29"/>
  <c r="G22" i="29"/>
  <c r="F22" i="29"/>
  <c r="F36" i="29" s="1"/>
  <c r="C22" i="29"/>
  <c r="C32" i="29"/>
  <c r="C37" i="29" s="1"/>
  <c r="C36" i="29"/>
  <c r="E32" i="29"/>
  <c r="E37" i="29" s="1"/>
  <c r="H32" i="29"/>
  <c r="H37" i="29" s="1"/>
  <c r="E22" i="29"/>
  <c r="E33" i="29" s="1"/>
  <c r="E38" i="29"/>
  <c r="H22" i="29"/>
  <c r="F38" i="29"/>
  <c r="E13" i="29"/>
  <c r="E14" i="29"/>
  <c r="H38" i="29"/>
  <c r="G38" i="29"/>
  <c r="D32" i="29"/>
  <c r="D37" i="29"/>
  <c r="B32" i="29"/>
  <c r="G13" i="29"/>
  <c r="H13" i="29"/>
  <c r="H14" i="29"/>
  <c r="F13" i="29"/>
  <c r="B22" i="29"/>
  <c r="D22" i="29"/>
  <c r="B36" i="29"/>
  <c r="B38" i="29"/>
  <c r="B13" i="29"/>
  <c r="B14" i="29"/>
  <c r="D38" i="29"/>
  <c r="D13" i="29"/>
  <c r="D14" i="29" s="1"/>
  <c r="C13" i="29"/>
  <c r="C38" i="29"/>
  <c r="H39" i="15"/>
  <c r="H58" i="15"/>
  <c r="H56" i="15"/>
  <c r="E70" i="16"/>
  <c r="E52" i="16"/>
  <c r="K21" i="16"/>
  <c r="C39" i="16"/>
  <c r="C58" i="16"/>
  <c r="D54" i="16"/>
  <c r="D70" i="16" s="1"/>
  <c r="G54" i="15"/>
  <c r="G52" i="15" s="1"/>
  <c r="L16" i="31"/>
  <c r="G66" i="16"/>
  <c r="G68" i="16"/>
  <c r="G70" i="16"/>
  <c r="C70" i="16"/>
  <c r="C58" i="15"/>
  <c r="C52" i="15"/>
  <c r="E39" i="16"/>
  <c r="K27" i="16"/>
  <c r="K58" i="16"/>
  <c r="K56" i="16" s="1"/>
  <c r="C56" i="16"/>
  <c r="I14" i="62" l="1"/>
  <c r="J14" i="62"/>
  <c r="H21" i="36"/>
  <c r="J18" i="36"/>
  <c r="G19" i="1"/>
  <c r="F17" i="1"/>
  <c r="F59" i="1" s="1"/>
  <c r="G103" i="18"/>
  <c r="I14" i="1"/>
  <c r="J14" i="1"/>
  <c r="E56" i="15"/>
  <c r="L58" i="15"/>
  <c r="L56" i="15" s="1"/>
  <c r="E66" i="16"/>
  <c r="E68" i="16" s="1"/>
  <c r="M56" i="16"/>
  <c r="N58" i="15"/>
  <c r="N56" i="15" s="1"/>
  <c r="E56" i="16"/>
  <c r="N58" i="16"/>
  <c r="N56" i="16" s="1"/>
  <c r="H52" i="16"/>
  <c r="H66" i="16" s="1"/>
  <c r="H68" i="16" s="1"/>
  <c r="H70" i="16"/>
  <c r="D52" i="16"/>
  <c r="D66" i="16" s="1"/>
  <c r="D68" i="16" s="1"/>
  <c r="D33" i="29"/>
  <c r="N21" i="15"/>
  <c r="N39" i="15" s="1"/>
  <c r="L17" i="23"/>
  <c r="L27" i="23" s="1"/>
  <c r="L29" i="23" s="1"/>
  <c r="N27" i="15"/>
  <c r="L13" i="21"/>
  <c r="L27" i="21" s="1"/>
  <c r="L29" i="21" s="1"/>
  <c r="K17" i="21"/>
  <c r="K27" i="21" s="1"/>
  <c r="K29" i="21" s="1"/>
  <c r="M17" i="21"/>
  <c r="M27" i="21" s="1"/>
  <c r="M29" i="21" s="1"/>
  <c r="M58" i="16"/>
  <c r="L21" i="16"/>
  <c r="M21" i="16"/>
  <c r="L21" i="15"/>
  <c r="E36" i="29"/>
  <c r="N15" i="16"/>
  <c r="N39" i="16" s="1"/>
  <c r="L10" i="15"/>
  <c r="K10" i="16"/>
  <c r="M10" i="16"/>
  <c r="L47" i="15"/>
  <c r="L17" i="21"/>
  <c r="N13" i="21"/>
  <c r="N27" i="21" s="1"/>
  <c r="N29" i="21" s="1"/>
  <c r="F27" i="21"/>
  <c r="F29" i="21" s="1"/>
  <c r="G66" i="15"/>
  <c r="G68" i="15" s="1"/>
  <c r="F33" i="29"/>
  <c r="L20" i="28"/>
  <c r="D54" i="15"/>
  <c r="K54" i="15" s="1"/>
  <c r="K52" i="15" s="1"/>
  <c r="K66" i="15" s="1"/>
  <c r="K68" i="15" s="1"/>
  <c r="G39" i="15"/>
  <c r="K10" i="15"/>
  <c r="N10" i="16"/>
  <c r="L33" i="16"/>
  <c r="N13" i="23"/>
  <c r="N27" i="23" s="1"/>
  <c r="N29" i="23" s="1"/>
  <c r="K20" i="28"/>
  <c r="M20" i="28"/>
  <c r="N20" i="28"/>
  <c r="C66" i="16"/>
  <c r="C68" i="16" s="1"/>
  <c r="H36" i="29"/>
  <c r="H33" i="29"/>
  <c r="L16" i="28"/>
  <c r="L29" i="28" s="1"/>
  <c r="N16" i="28"/>
  <c r="H29" i="28"/>
  <c r="M16" i="28"/>
  <c r="M29" i="28" s="1"/>
  <c r="M58" i="15"/>
  <c r="M56" i="15" s="1"/>
  <c r="K58" i="15"/>
  <c r="K56" i="15" s="1"/>
  <c r="C56" i="15"/>
  <c r="C66" i="15" s="1"/>
  <c r="C68" i="15" s="1"/>
  <c r="K54" i="16"/>
  <c r="K52" i="16" s="1"/>
  <c r="K66" i="16" s="1"/>
  <c r="K68" i="16" s="1"/>
  <c r="G36" i="29"/>
  <c r="G33" i="29"/>
  <c r="M20" i="31"/>
  <c r="M29" i="31" s="1"/>
  <c r="N20" i="31"/>
  <c r="C29" i="31"/>
  <c r="B37" i="29"/>
  <c r="B33" i="29"/>
  <c r="H29" i="31"/>
  <c r="L20" i="31"/>
  <c r="L29" i="31" s="1"/>
  <c r="E54" i="15"/>
  <c r="L15" i="15"/>
  <c r="M15" i="15"/>
  <c r="E39" i="15"/>
  <c r="D36" i="29"/>
  <c r="N29" i="31"/>
  <c r="K29" i="28"/>
  <c r="K29" i="31"/>
  <c r="F56" i="16"/>
  <c r="L58" i="16"/>
  <c r="L56" i="16" s="1"/>
  <c r="F39" i="16"/>
  <c r="F54" i="16"/>
  <c r="M15" i="16"/>
  <c r="L15" i="16"/>
  <c r="D52" i="15"/>
  <c r="D66" i="15" s="1"/>
  <c r="D68" i="15" s="1"/>
  <c r="C29" i="28"/>
  <c r="I54" i="16"/>
  <c r="I39" i="16"/>
  <c r="M33" i="15"/>
  <c r="D39" i="15"/>
  <c r="F29" i="28"/>
  <c r="D29" i="28"/>
  <c r="F54" i="15"/>
  <c r="F52" i="15" s="1"/>
  <c r="F66" i="15" s="1"/>
  <c r="F68" i="15" s="1"/>
  <c r="K33" i="15"/>
  <c r="G39" i="16"/>
  <c r="K13" i="23"/>
  <c r="K27" i="23" s="1"/>
  <c r="K29" i="23" s="1"/>
  <c r="L33" i="15"/>
  <c r="M33" i="16"/>
  <c r="H27" i="23"/>
  <c r="H29" i="23" s="1"/>
  <c r="M27" i="15"/>
  <c r="K27" i="15"/>
  <c r="N6" i="31"/>
  <c r="N15" i="31"/>
  <c r="N6" i="28"/>
  <c r="N15" i="28"/>
  <c r="J21" i="36" l="1"/>
  <c r="F45" i="1"/>
  <c r="H19" i="1"/>
  <c r="F5" i="28"/>
  <c r="F5" i="31"/>
  <c r="F14" i="31"/>
  <c r="F14" i="28"/>
  <c r="E58" i="1"/>
  <c r="E45" i="1"/>
  <c r="F58" i="1"/>
  <c r="H103" i="18"/>
  <c r="M39" i="15"/>
  <c r="L39" i="16"/>
  <c r="K39" i="15"/>
  <c r="L39" i="15"/>
  <c r="M39" i="16"/>
  <c r="E52" i="15"/>
  <c r="E66" i="15" s="1"/>
  <c r="E68" i="15" s="1"/>
  <c r="M54" i="15"/>
  <c r="M52" i="15" s="1"/>
  <c r="M66" i="15" s="1"/>
  <c r="M68" i="15" s="1"/>
  <c r="N54" i="15"/>
  <c r="N52" i="15" s="1"/>
  <c r="N66" i="15" s="1"/>
  <c r="N68" i="15" s="1"/>
  <c r="L54" i="15"/>
  <c r="L52" i="15" s="1"/>
  <c r="L66" i="15" s="1"/>
  <c r="L68" i="15" s="1"/>
  <c r="I70" i="16"/>
  <c r="I52" i="16"/>
  <c r="I66" i="16" s="1"/>
  <c r="I68" i="16" s="1"/>
  <c r="F70" i="16"/>
  <c r="F52" i="16"/>
  <c r="F66" i="16" s="1"/>
  <c r="F68" i="16" s="1"/>
  <c r="L54" i="16"/>
  <c r="L52" i="16" s="1"/>
  <c r="L66" i="16" s="1"/>
  <c r="L68" i="16" s="1"/>
  <c r="N54" i="16"/>
  <c r="N52" i="16" s="1"/>
  <c r="N66" i="16" s="1"/>
  <c r="N68" i="16" s="1"/>
  <c r="M54" i="16"/>
  <c r="M52" i="16" s="1"/>
  <c r="M66" i="16" s="1"/>
  <c r="M68" i="16" s="1"/>
  <c r="N29" i="28"/>
  <c r="G14" i="31" l="1"/>
  <c r="G14" i="28"/>
  <c r="G5" i="31"/>
  <c r="G5" i="28"/>
  <c r="H58" i="1"/>
  <c r="H45" i="1"/>
  <c r="J8" i="1"/>
  <c r="I8" i="1"/>
  <c r="I5" i="31" l="1"/>
  <c r="I5" i="28"/>
  <c r="I14" i="28"/>
  <c r="I14" i="31"/>
  <c r="G58" i="1"/>
  <c r="G45" i="1"/>
  <c r="I58" i="1"/>
  <c r="J58" i="1"/>
  <c r="I45" i="1" l="1"/>
  <c r="J45" i="1"/>
  <c r="B58" i="1" a="1"/>
  <c r="B58" i="1" s="1"/>
  <c r="C38" i="36" l="1"/>
  <c r="J89" i="36" l="1"/>
  <c r="J452" i="6"/>
  <c r="I452" i="6"/>
  <c r="I170" i="34" l="1"/>
  <c r="J170" i="34"/>
  <c r="I168" i="34"/>
  <c r="J168" i="34"/>
  <c r="J169" i="34"/>
  <c r="I169" i="34"/>
  <c r="J173" i="34"/>
  <c r="I173" i="34"/>
  <c r="G78" i="36" l="1"/>
  <c r="G95" i="36" s="1"/>
  <c r="D23" i="11" l="1"/>
  <c r="D24" i="11"/>
  <c r="D22" i="11"/>
  <c r="C26" i="11" l="1"/>
  <c r="C6" i="11"/>
  <c r="G16" i="1" l="1"/>
  <c r="G16" i="62" s="1"/>
  <c r="J16" i="62" l="1"/>
  <c r="I16" i="62"/>
  <c r="G17" i="62"/>
  <c r="I16" i="1"/>
  <c r="J16" i="1"/>
  <c r="G17" i="1"/>
  <c r="I17" i="62" l="1"/>
  <c r="J17" i="62"/>
  <c r="G59" i="1"/>
  <c r="I17" i="1"/>
  <c r="I59" i="1" s="1"/>
  <c r="J17" i="1"/>
  <c r="J59" i="1" s="1"/>
  <c r="B59" i="1" l="1" a="1"/>
  <c r="B59" i="1" s="1"/>
  <c r="BK11" i="13" l="1"/>
  <c r="BL11" i="13"/>
  <c r="BK12" i="13"/>
  <c r="BL12" i="13"/>
  <c r="A50" i="10" l="1"/>
  <c r="A35" i="26"/>
  <c r="A52" i="10" l="1"/>
  <c r="A37" i="26"/>
  <c r="A36" i="26"/>
  <c r="A51" i="10"/>
  <c r="A40" i="26" l="1"/>
  <c r="A55" i="10"/>
  <c r="A59" i="10"/>
  <c r="A44" i="26"/>
  <c r="A70" i="10"/>
  <c r="A55" i="26"/>
  <c r="A47" i="26"/>
  <c r="A62" i="10"/>
  <c r="A51" i="26"/>
  <c r="A66" i="10"/>
  <c r="A65" i="10"/>
  <c r="A50" i="26"/>
  <c r="A41" i="26"/>
  <c r="A56" i="10"/>
  <c r="A73" i="10"/>
  <c r="A58" i="26"/>
  <c r="A71" i="10"/>
  <c r="A56" i="26"/>
  <c r="A64" i="10"/>
  <c r="A49" i="26"/>
  <c r="A61" i="10"/>
  <c r="A46" i="26"/>
  <c r="A60" i="10"/>
  <c r="A45" i="26"/>
  <c r="A43" i="26"/>
  <c r="A58" i="10"/>
  <c r="A63" i="10"/>
  <c r="A48" i="26"/>
  <c r="A54" i="10"/>
  <c r="A39" i="26"/>
  <c r="A67" i="10"/>
  <c r="A52" i="26"/>
  <c r="A53" i="10"/>
  <c r="A38" i="26"/>
  <c r="A42" i="26"/>
  <c r="A57" i="10"/>
  <c r="A69" i="10"/>
  <c r="A54" i="26"/>
  <c r="B31" i="26"/>
  <c r="A68" i="10"/>
  <c r="A53" i="26"/>
  <c r="A74" i="10"/>
  <c r="A72" i="10"/>
  <c r="A57" i="26"/>
  <c r="E31" i="26" l="1"/>
  <c r="D87" i="36" l="1"/>
  <c r="D111" i="36" l="1"/>
  <c r="C78" i="36" l="1"/>
  <c r="F9" i="13" l="1"/>
  <c r="D10" i="13"/>
  <c r="H10" i="13"/>
  <c r="E9" i="13"/>
  <c r="BT9" i="13"/>
  <c r="BU9" i="13"/>
  <c r="AJ9" i="13"/>
  <c r="AK9" i="13"/>
  <c r="BU10" i="13"/>
  <c r="BT10" i="13"/>
  <c r="D9" i="13"/>
  <c r="AA10" i="13"/>
  <c r="AB10" i="13"/>
  <c r="R10" i="13"/>
  <c r="C10" i="13"/>
  <c r="S10" i="13"/>
  <c r="BB9" i="13"/>
  <c r="BC9" i="13"/>
  <c r="E10" i="13"/>
  <c r="S9" i="13"/>
  <c r="R9" i="13"/>
  <c r="C9" i="13"/>
  <c r="BK9" i="13"/>
  <c r="BL9" i="13"/>
  <c r="AK10" i="13"/>
  <c r="AJ10" i="13"/>
  <c r="BB10" i="13"/>
  <c r="BC10" i="13"/>
  <c r="BL8" i="13"/>
  <c r="BK8" i="13"/>
  <c r="G9" i="13"/>
  <c r="H9" i="13"/>
  <c r="BL10" i="13"/>
  <c r="BK10" i="13"/>
  <c r="AT10" i="13"/>
  <c r="AS10" i="13"/>
  <c r="F10" i="13"/>
  <c r="AB9" i="13"/>
  <c r="AA9" i="13"/>
  <c r="G10" i="13"/>
  <c r="AT9" i="13"/>
  <c r="AS9" i="13"/>
  <c r="BK7" i="13" l="1"/>
  <c r="BL7" i="13"/>
  <c r="J9" i="13"/>
  <c r="I9" i="13"/>
  <c r="J10" i="13"/>
  <c r="I10" i="13"/>
  <c r="H24" i="13" l="1"/>
  <c r="F24" i="13"/>
  <c r="G24" i="13"/>
  <c r="E24" i="13"/>
  <c r="D24" i="13"/>
  <c r="G23" i="13" l="1"/>
  <c r="BU30" i="13"/>
  <c r="BT30" i="13"/>
  <c r="C24" i="13"/>
  <c r="S24" i="13"/>
  <c r="R24" i="13"/>
  <c r="R23" i="13"/>
  <c r="C23" i="13"/>
  <c r="S23" i="13"/>
  <c r="H23" i="13"/>
  <c r="BC24" i="13"/>
  <c r="BB24" i="13"/>
  <c r="AB24" i="13"/>
  <c r="AA24" i="13"/>
  <c r="E23" i="13"/>
  <c r="AK24" i="13"/>
  <c r="AJ24" i="13"/>
  <c r="BK24" i="13"/>
  <c r="BL24" i="13"/>
  <c r="BC23" i="13"/>
  <c r="BB23" i="13"/>
  <c r="BU23" i="13"/>
  <c r="BT23" i="13"/>
  <c r="AT23" i="13"/>
  <c r="AS23" i="13"/>
  <c r="AK23" i="13"/>
  <c r="AJ23" i="13"/>
  <c r="D23" i="13"/>
  <c r="F23" i="13"/>
  <c r="AB23" i="13"/>
  <c r="AA23" i="13"/>
  <c r="BL23" i="13"/>
  <c r="BK23" i="13"/>
  <c r="BU24" i="13"/>
  <c r="BT24" i="13"/>
  <c r="AS24" i="13"/>
  <c r="AT24" i="13"/>
  <c r="J23" i="13" l="1"/>
  <c r="I23" i="13"/>
  <c r="J24" i="13"/>
  <c r="I24" i="13"/>
  <c r="I7" i="9" l="1"/>
  <c r="J7" i="9"/>
  <c r="J8" i="9"/>
  <c r="I8" i="9"/>
  <c r="BB30" i="13" l="1"/>
  <c r="BC30" i="13"/>
  <c r="E30" i="13"/>
  <c r="AT30" i="13"/>
  <c r="AS30" i="13"/>
  <c r="AK30" i="13"/>
  <c r="AJ30" i="13"/>
  <c r="AA30" i="13"/>
  <c r="AB30" i="13"/>
  <c r="C30" i="13"/>
  <c r="R30" i="13"/>
  <c r="S30" i="13"/>
  <c r="D30" i="13"/>
  <c r="H30" i="13"/>
  <c r="F30" i="13"/>
  <c r="BK30" i="13"/>
  <c r="BL30" i="13"/>
  <c r="G30" i="13"/>
  <c r="I30" i="13" l="1"/>
  <c r="J30" i="13"/>
  <c r="I53" i="19" l="1"/>
  <c r="J53" i="19"/>
  <c r="F28" i="13" l="1"/>
  <c r="D28" i="13"/>
  <c r="H27" i="13"/>
  <c r="F26" i="13"/>
  <c r="G26" i="13"/>
  <c r="AO22" i="13"/>
  <c r="BR22" i="13"/>
  <c r="D27" i="13"/>
  <c r="Y22" i="13"/>
  <c r="AI22" i="13"/>
  <c r="AZ22" i="13"/>
  <c r="AY22" i="13"/>
  <c r="AE22" i="13"/>
  <c r="BJ22" i="13"/>
  <c r="AH22" i="13"/>
  <c r="H28" i="13"/>
  <c r="BQ22" i="13"/>
  <c r="E26" i="13"/>
  <c r="BF22" i="13"/>
  <c r="F27" i="13"/>
  <c r="Z22" i="13"/>
  <c r="AW22" i="13"/>
  <c r="AP22" i="13"/>
  <c r="E28" i="13"/>
  <c r="BI22" i="13"/>
  <c r="V22" i="13"/>
  <c r="AF22" i="13"/>
  <c r="W22" i="13"/>
  <c r="BG22" i="13"/>
  <c r="AQ22" i="13"/>
  <c r="AX22" i="13"/>
  <c r="AR22" i="13"/>
  <c r="BO22" i="13"/>
  <c r="AN22" i="13"/>
  <c r="G27" i="13"/>
  <c r="BP22" i="13"/>
  <c r="BH22" i="13"/>
  <c r="E27" i="13"/>
  <c r="D26" i="13"/>
  <c r="H26" i="13"/>
  <c r="BA22" i="13"/>
  <c r="AG22" i="13"/>
  <c r="X22" i="13"/>
  <c r="G28" i="13"/>
  <c r="BS22" i="13"/>
  <c r="S27" i="13" l="1"/>
  <c r="C27" i="13"/>
  <c r="R27" i="13"/>
  <c r="AA26" i="13"/>
  <c r="AB26" i="13"/>
  <c r="D25" i="13"/>
  <c r="D22" i="13" s="1"/>
  <c r="M22" i="13"/>
  <c r="AK28" i="13"/>
  <c r="AJ28" i="13"/>
  <c r="BC27" i="13"/>
  <c r="BB27" i="13"/>
  <c r="BT28" i="13"/>
  <c r="BU28" i="13"/>
  <c r="G25" i="13"/>
  <c r="G22" i="13" s="1"/>
  <c r="P22" i="13"/>
  <c r="AK27" i="13"/>
  <c r="AJ27" i="13"/>
  <c r="L22" i="13"/>
  <c r="C25" i="13"/>
  <c r="S25" i="13"/>
  <c r="R25" i="13"/>
  <c r="AS25" i="13"/>
  <c r="AT25" i="13"/>
  <c r="AM22" i="13"/>
  <c r="BL26" i="13"/>
  <c r="BK26" i="13"/>
  <c r="AJ25" i="13"/>
  <c r="AK25" i="13"/>
  <c r="AD22" i="13"/>
  <c r="BK28" i="13"/>
  <c r="BL28" i="13"/>
  <c r="E25" i="13"/>
  <c r="E22" i="13" s="1"/>
  <c r="N22" i="13"/>
  <c r="O22" i="13"/>
  <c r="F25" i="13"/>
  <c r="F22" i="13" s="1"/>
  <c r="AV22" i="13"/>
  <c r="BC25" i="13"/>
  <c r="BB25" i="13"/>
  <c r="S28" i="13"/>
  <c r="C28" i="13"/>
  <c r="R28" i="13"/>
  <c r="AA27" i="13"/>
  <c r="AB27" i="13"/>
  <c r="BB28" i="13"/>
  <c r="BC28" i="13"/>
  <c r="U22" i="13"/>
  <c r="AA25" i="13"/>
  <c r="AB25" i="13"/>
  <c r="AS27" i="13"/>
  <c r="AT27" i="13"/>
  <c r="BE22" i="13"/>
  <c r="BK25" i="13"/>
  <c r="BL25" i="13"/>
  <c r="AJ26" i="13"/>
  <c r="AK26" i="13"/>
  <c r="BU27" i="13"/>
  <c r="BT27" i="13"/>
  <c r="BT26" i="13"/>
  <c r="BU26" i="13"/>
  <c r="AT28" i="13"/>
  <c r="AS28" i="13"/>
  <c r="AA28" i="13"/>
  <c r="AB28" i="13"/>
  <c r="BK27" i="13"/>
  <c r="BL27" i="13"/>
  <c r="H25" i="13"/>
  <c r="H22" i="13" s="1"/>
  <c r="Q22" i="13"/>
  <c r="BC26" i="13"/>
  <c r="BB26" i="13"/>
  <c r="AS26" i="13"/>
  <c r="AT26" i="13"/>
  <c r="BU25" i="13"/>
  <c r="BN22" i="13"/>
  <c r="BT25" i="13"/>
  <c r="S26" i="13"/>
  <c r="R26" i="13"/>
  <c r="C26" i="13"/>
  <c r="AA22" i="13" l="1"/>
  <c r="AB22" i="13"/>
  <c r="E36" i="1"/>
  <c r="J28" i="13"/>
  <c r="I28" i="13"/>
  <c r="BB22" i="13"/>
  <c r="BC22" i="13"/>
  <c r="I26" i="13"/>
  <c r="J26" i="13"/>
  <c r="BL22" i="13"/>
  <c r="BK22" i="13"/>
  <c r="BT22" i="13"/>
  <c r="BU22" i="13"/>
  <c r="D36" i="1"/>
  <c r="I25" i="13"/>
  <c r="J25" i="13"/>
  <c r="C22" i="13"/>
  <c r="H36" i="1"/>
  <c r="G36" i="1"/>
  <c r="AK22" i="13"/>
  <c r="AD19" i="13"/>
  <c r="AJ22" i="13"/>
  <c r="AT22" i="13"/>
  <c r="AS22" i="13"/>
  <c r="S22" i="13"/>
  <c r="R22" i="13"/>
  <c r="J27" i="13"/>
  <c r="I27" i="13"/>
  <c r="F36" i="1"/>
  <c r="G36" i="62" l="1"/>
  <c r="F36" i="62"/>
  <c r="D36" i="62"/>
  <c r="H36" i="62"/>
  <c r="C36" i="1"/>
  <c r="I22" i="13"/>
  <c r="J22" i="13"/>
  <c r="E36" i="62"/>
  <c r="BN29" i="13" l="1"/>
  <c r="C36" i="62"/>
  <c r="I36" i="1"/>
  <c r="J36" i="1"/>
  <c r="C34" i="13"/>
  <c r="BO29" i="13" l="1"/>
  <c r="BO39" i="13" s="1"/>
  <c r="BN39" i="13"/>
  <c r="AV29" i="13"/>
  <c r="C33" i="13"/>
  <c r="C36" i="13"/>
  <c r="AD29" i="13"/>
  <c r="D32" i="13"/>
  <c r="D37" i="13"/>
  <c r="BE29" i="13"/>
  <c r="D36" i="13"/>
  <c r="J36" i="62"/>
  <c r="I36" i="62"/>
  <c r="C32" i="13"/>
  <c r="C37" i="13"/>
  <c r="D35" i="13"/>
  <c r="C38" i="13"/>
  <c r="U29" i="13"/>
  <c r="BF29" i="13"/>
  <c r="BF39" i="13" s="1"/>
  <c r="AM29" i="13"/>
  <c r="D38" i="13"/>
  <c r="AN29" i="13"/>
  <c r="AN39" i="13" s="1"/>
  <c r="C35" i="13"/>
  <c r="D33" i="13"/>
  <c r="L29" i="13"/>
  <c r="C31" i="13"/>
  <c r="BP29" i="13" l="1"/>
  <c r="BP39" i="13" s="1"/>
  <c r="BE39" i="13"/>
  <c r="C29" i="13"/>
  <c r="L39" i="13"/>
  <c r="U39" i="13"/>
  <c r="V29" i="13"/>
  <c r="V39" i="13" s="1"/>
  <c r="AV39" i="13"/>
  <c r="D31" i="13"/>
  <c r="M29" i="13"/>
  <c r="M39" i="13" s="1"/>
  <c r="AD39" i="13"/>
  <c r="E34" i="13"/>
  <c r="AW29" i="13"/>
  <c r="AW39" i="13" s="1"/>
  <c r="AM39" i="13"/>
  <c r="AE29" i="13"/>
  <c r="AE39" i="13" s="1"/>
  <c r="D34" i="13"/>
  <c r="BQ29" i="13" l="1"/>
  <c r="D29" i="13"/>
  <c r="D39" i="13" s="1"/>
  <c r="E32" i="13"/>
  <c r="D37" i="1"/>
  <c r="BG29" i="13"/>
  <c r="AO29" i="13"/>
  <c r="AX29" i="13"/>
  <c r="AX39" i="13" s="1"/>
  <c r="BK33" i="13"/>
  <c r="N29" i="13"/>
  <c r="N39" i="13" s="1"/>
  <c r="E31" i="13"/>
  <c r="E37" i="13"/>
  <c r="E36" i="13"/>
  <c r="AF29" i="13"/>
  <c r="AF39" i="13" s="1"/>
  <c r="E33" i="13"/>
  <c r="E35" i="13"/>
  <c r="W29" i="13"/>
  <c r="AJ32" i="13"/>
  <c r="C37" i="1"/>
  <c r="C39" i="13"/>
  <c r="E38" i="13"/>
  <c r="BT38" i="13" l="1"/>
  <c r="BC35" i="13"/>
  <c r="BU38" i="13"/>
  <c r="BT33" i="13"/>
  <c r="BT32" i="13"/>
  <c r="BQ39" i="13"/>
  <c r="BR29" i="13"/>
  <c r="BU31" i="13"/>
  <c r="BT31" i="13"/>
  <c r="BU36" i="13"/>
  <c r="BL36" i="13"/>
  <c r="AT33" i="13"/>
  <c r="AT36" i="13"/>
  <c r="AA32" i="13"/>
  <c r="BB35" i="13"/>
  <c r="BC36" i="13"/>
  <c r="BB36" i="13"/>
  <c r="AB38" i="13"/>
  <c r="AY29" i="13"/>
  <c r="AY39" i="13" s="1"/>
  <c r="X29" i="13"/>
  <c r="X39" i="13" s="1"/>
  <c r="AK32" i="13"/>
  <c r="BL33" i="13"/>
  <c r="AA35" i="13"/>
  <c r="AS35" i="13"/>
  <c r="AT35" i="13"/>
  <c r="E29" i="13"/>
  <c r="F36" i="13"/>
  <c r="AS33" i="13"/>
  <c r="AS36" i="13"/>
  <c r="BC33" i="13"/>
  <c r="AP29" i="13"/>
  <c r="AP39" i="13" s="1"/>
  <c r="BH29" i="13"/>
  <c r="BH39" i="13" s="1"/>
  <c r="BG39" i="13"/>
  <c r="D15" i="19"/>
  <c r="F37" i="13"/>
  <c r="H37" i="13"/>
  <c r="AK36" i="13"/>
  <c r="AO39" i="13"/>
  <c r="F35" i="13"/>
  <c r="AB36" i="13"/>
  <c r="AA36" i="13"/>
  <c r="F31" i="13"/>
  <c r="O29" i="13"/>
  <c r="AA38" i="13"/>
  <c r="AG29" i="13"/>
  <c r="AG39" i="13" s="1"/>
  <c r="C37" i="62"/>
  <c r="C35" i="1"/>
  <c r="F38" i="13"/>
  <c r="AK38" i="13"/>
  <c r="AJ38" i="13"/>
  <c r="H32" i="13"/>
  <c r="H38" i="13"/>
  <c r="D37" i="62"/>
  <c r="D35" i="62" s="1"/>
  <c r="D35" i="1"/>
  <c r="F32" i="13"/>
  <c r="BK38" i="13"/>
  <c r="BL38" i="13"/>
  <c r="C15" i="19"/>
  <c r="H35" i="13"/>
  <c r="W39" i="13"/>
  <c r="BB33" i="13"/>
  <c r="F34" i="13"/>
  <c r="F33" i="13"/>
  <c r="BB32" i="13"/>
  <c r="BC32" i="13"/>
  <c r="AA34" i="13" l="1"/>
  <c r="BR39" i="13"/>
  <c r="G34" i="13"/>
  <c r="BT35" i="13"/>
  <c r="BU32" i="13"/>
  <c r="R33" i="13"/>
  <c r="AH29" i="13"/>
  <c r="AH39" i="13" s="1"/>
  <c r="BB34" i="13"/>
  <c r="BC34" i="13"/>
  <c r="G38" i="13"/>
  <c r="J38" i="13" s="1"/>
  <c r="G36" i="13"/>
  <c r="AJ36" i="13"/>
  <c r="S33" i="13"/>
  <c r="H33" i="13"/>
  <c r="AJ34" i="13"/>
  <c r="AK34" i="13"/>
  <c r="E37" i="1"/>
  <c r="E39" i="13"/>
  <c r="BK34" i="13"/>
  <c r="BL34" i="13"/>
  <c r="O39" i="13"/>
  <c r="G32" i="13"/>
  <c r="I32" i="13" s="1"/>
  <c r="R32" i="13"/>
  <c r="S32" i="13"/>
  <c r="AQ29" i="13"/>
  <c r="R36" i="13"/>
  <c r="H36" i="13"/>
  <c r="S31" i="13"/>
  <c r="G31" i="13"/>
  <c r="P29" i="13"/>
  <c r="P39" i="13" s="1"/>
  <c r="C35" i="62"/>
  <c r="AS32" i="13"/>
  <c r="AT32" i="13"/>
  <c r="BI29" i="13"/>
  <c r="R38" i="13"/>
  <c r="S36" i="13"/>
  <c r="AS34" i="13"/>
  <c r="G35" i="13"/>
  <c r="R35" i="13"/>
  <c r="S35" i="13"/>
  <c r="G33" i="13"/>
  <c r="BL35" i="13"/>
  <c r="BK35" i="13"/>
  <c r="BC38" i="13"/>
  <c r="BB38" i="13"/>
  <c r="Y29" i="13"/>
  <c r="S38" i="13"/>
  <c r="AK33" i="13"/>
  <c r="AJ33" i="13"/>
  <c r="AB33" i="13"/>
  <c r="AA33" i="13"/>
  <c r="AT38" i="13"/>
  <c r="AS38" i="13"/>
  <c r="AZ29" i="13"/>
  <c r="BC31" i="13"/>
  <c r="BL32" i="13"/>
  <c r="BK32" i="13"/>
  <c r="C62" i="1"/>
  <c r="F29" i="13"/>
  <c r="D62" i="1"/>
  <c r="G37" i="13"/>
  <c r="AK35" i="13"/>
  <c r="AJ35" i="13"/>
  <c r="I33" i="13" l="1"/>
  <c r="BT34" i="13"/>
  <c r="BU34" i="13"/>
  <c r="BS29" i="13"/>
  <c r="R31" i="13"/>
  <c r="I38" i="13"/>
  <c r="J33" i="13"/>
  <c r="Y39" i="13"/>
  <c r="AK31" i="13"/>
  <c r="AJ31" i="13"/>
  <c r="J36" i="13"/>
  <c r="I36" i="13"/>
  <c r="E37" i="62"/>
  <c r="E35" i="1"/>
  <c r="Z29" i="13"/>
  <c r="Z39" i="13" s="1"/>
  <c r="AA31" i="13"/>
  <c r="BJ29" i="13"/>
  <c r="BJ39" i="13" s="1"/>
  <c r="BL31" i="13"/>
  <c r="BK31" i="13"/>
  <c r="BA29" i="13"/>
  <c r="BA39" i="13" s="1"/>
  <c r="BB31" i="13"/>
  <c r="F37" i="1"/>
  <c r="F39" i="13"/>
  <c r="AZ39" i="13"/>
  <c r="G29" i="13"/>
  <c r="AQ39" i="13"/>
  <c r="S34" i="13"/>
  <c r="H34" i="13"/>
  <c r="E15" i="19"/>
  <c r="AI29" i="13"/>
  <c r="J35" i="13"/>
  <c r="I35" i="13"/>
  <c r="AT31" i="13"/>
  <c r="AS31" i="13"/>
  <c r="BI39" i="13"/>
  <c r="AB31" i="13"/>
  <c r="R34" i="13"/>
  <c r="AR29" i="13"/>
  <c r="AT29" i="13" s="1"/>
  <c r="H31" i="13"/>
  <c r="Q29" i="13"/>
  <c r="R29" i="13" s="1"/>
  <c r="AT34" i="13"/>
  <c r="J32" i="13"/>
  <c r="BS39" i="13" l="1"/>
  <c r="BT29" i="13"/>
  <c r="BU29" i="13"/>
  <c r="AA29" i="13"/>
  <c r="AB29" i="13"/>
  <c r="I34" i="13"/>
  <c r="J34" i="13"/>
  <c r="BB39" i="13"/>
  <c r="BC39" i="13"/>
  <c r="E35" i="62"/>
  <c r="F15" i="19"/>
  <c r="BK39" i="13"/>
  <c r="BL39" i="13"/>
  <c r="AA39" i="13"/>
  <c r="AB39" i="13"/>
  <c r="H29" i="13"/>
  <c r="J29" i="13" s="1"/>
  <c r="I31" i="13"/>
  <c r="AI39" i="13"/>
  <c r="AJ29" i="13"/>
  <c r="AK29" i="13"/>
  <c r="G37" i="1"/>
  <c r="G39" i="13"/>
  <c r="AR39" i="13"/>
  <c r="AT39" i="13" s="1"/>
  <c r="AS29" i="13"/>
  <c r="BK29" i="13"/>
  <c r="BB29" i="13"/>
  <c r="J31" i="13"/>
  <c r="F37" i="62"/>
  <c r="F35" i="62" s="1"/>
  <c r="F35" i="1"/>
  <c r="F62" i="1" s="1"/>
  <c r="Q39" i="13"/>
  <c r="S29" i="13"/>
  <c r="BL29" i="13"/>
  <c r="BC29" i="13"/>
  <c r="E62" i="1"/>
  <c r="BU39" i="13" l="1"/>
  <c r="BT39" i="13"/>
  <c r="AK39" i="13"/>
  <c r="AJ39" i="13"/>
  <c r="S39" i="13"/>
  <c r="R39" i="13"/>
  <c r="AS39" i="13"/>
  <c r="G15" i="19"/>
  <c r="H37" i="1"/>
  <c r="H39" i="13"/>
  <c r="I39" i="13" s="1"/>
  <c r="I29" i="13"/>
  <c r="G37" i="62"/>
  <c r="G35" i="62" s="1"/>
  <c r="G35" i="1"/>
  <c r="J39" i="13" l="1"/>
  <c r="H37" i="62"/>
  <c r="J37" i="62" s="1"/>
  <c r="H35" i="1"/>
  <c r="J37" i="1"/>
  <c r="I37" i="1"/>
  <c r="G62" i="1"/>
  <c r="H15" i="19"/>
  <c r="J15" i="19" l="1"/>
  <c r="H62" i="1"/>
  <c r="H35" i="62"/>
  <c r="I37" i="62"/>
  <c r="I15" i="19"/>
  <c r="J35" i="1"/>
  <c r="I35" i="1"/>
  <c r="J62" i="1" l="1"/>
  <c r="I62" i="1"/>
  <c r="I35" i="62"/>
  <c r="J35" i="62"/>
  <c r="B62" i="1" l="1" a="1"/>
  <c r="B62" i="1" s="1"/>
  <c r="C87" i="36" l="1"/>
  <c r="C95" i="36" s="1"/>
  <c r="E78" i="36" l="1"/>
  <c r="E95" i="36" s="1"/>
  <c r="F78" i="36" l="1"/>
  <c r="F95" i="36" s="1"/>
  <c r="D70" i="10" l="1"/>
  <c r="G55" i="10"/>
  <c r="E61" i="10"/>
  <c r="G53" i="10"/>
  <c r="H54" i="19"/>
  <c r="G64" i="10"/>
  <c r="F70" i="10"/>
  <c r="D39" i="10"/>
  <c r="E67" i="10"/>
  <c r="H67" i="10"/>
  <c r="E51" i="10"/>
  <c r="H69" i="10"/>
  <c r="G14" i="32"/>
  <c r="E57" i="10"/>
  <c r="H58" i="10"/>
  <c r="G67" i="10"/>
  <c r="H54" i="10"/>
  <c r="E70" i="10"/>
  <c r="F57" i="10"/>
  <c r="D59" i="10"/>
  <c r="D54" i="10"/>
  <c r="E65" i="10"/>
  <c r="D54" i="19"/>
  <c r="D74" i="10"/>
  <c r="F53" i="10"/>
  <c r="H60" i="10"/>
  <c r="F56" i="10"/>
  <c r="H66" i="10"/>
  <c r="H63" i="10"/>
  <c r="H51" i="10"/>
  <c r="F60" i="10"/>
  <c r="D67" i="10"/>
  <c r="E53" i="10"/>
  <c r="E55" i="10"/>
  <c r="D66" i="10"/>
  <c r="F65" i="10"/>
  <c r="G63" i="10"/>
  <c r="H14" i="32"/>
  <c r="H61" i="10"/>
  <c r="F73" i="10"/>
  <c r="G62" i="10"/>
  <c r="H53" i="10"/>
  <c r="D63" i="10"/>
  <c r="D68" i="10"/>
  <c r="F54" i="10"/>
  <c r="D60" i="10"/>
  <c r="G39" i="10"/>
  <c r="G143" i="34"/>
  <c r="E56" i="10"/>
  <c r="F63" i="10"/>
  <c r="D73" i="10"/>
  <c r="E68" i="10"/>
  <c r="F64" i="10"/>
  <c r="G65" i="10"/>
  <c r="H143" i="34"/>
  <c r="D51" i="10"/>
  <c r="D69" i="10"/>
  <c r="E14" i="32"/>
  <c r="H70" i="10"/>
  <c r="F61" i="10"/>
  <c r="D61" i="10"/>
  <c r="F19" i="34"/>
  <c r="E66" i="10"/>
  <c r="E59" i="10"/>
  <c r="F54" i="19"/>
  <c r="E63" i="10"/>
  <c r="F69" i="10"/>
  <c r="E58" i="10"/>
  <c r="D52" i="10"/>
  <c r="D39" i="19"/>
  <c r="E39" i="10"/>
  <c r="F371" i="6"/>
  <c r="D56" i="10"/>
  <c r="F62" i="10"/>
  <c r="F52" i="10"/>
  <c r="D111" i="10"/>
  <c r="H74" i="10"/>
  <c r="G73" i="10"/>
  <c r="F68" i="10"/>
  <c r="F55" i="10"/>
  <c r="H57" i="10"/>
  <c r="E54" i="19"/>
  <c r="H39" i="10"/>
  <c r="D55" i="10"/>
  <c r="E73" i="10"/>
  <c r="H52" i="10"/>
  <c r="G59" i="10"/>
  <c r="F39" i="10"/>
  <c r="F59" i="10"/>
  <c r="E52" i="10"/>
  <c r="H56" i="10"/>
  <c r="E64" i="10"/>
  <c r="F25" i="9"/>
  <c r="G66" i="10"/>
  <c r="H62" i="10"/>
  <c r="G70" i="10"/>
  <c r="F51" i="10"/>
  <c r="F75" i="11"/>
  <c r="F38" i="10" s="1"/>
  <c r="G60" i="10"/>
  <c r="D64" i="10"/>
  <c r="F67" i="10"/>
  <c r="D57" i="10"/>
  <c r="H73" i="10"/>
  <c r="G54" i="19"/>
  <c r="G69" i="10"/>
  <c r="H55" i="10"/>
  <c r="G52" i="10"/>
  <c r="F74" i="10"/>
  <c r="G68" i="10"/>
  <c r="E74" i="10"/>
  <c r="H68" i="10"/>
  <c r="F143" i="34"/>
  <c r="E54" i="10"/>
  <c r="H65" i="10"/>
  <c r="H64" i="10"/>
  <c r="F58" i="10"/>
  <c r="G57" i="10"/>
  <c r="E268" i="6"/>
  <c r="E25" i="9"/>
  <c r="D58" i="10"/>
  <c r="D143" i="34"/>
  <c r="D126" i="6"/>
  <c r="F10" i="34"/>
  <c r="G54" i="10"/>
  <c r="G58" i="10"/>
  <c r="H456" i="6"/>
  <c r="E62" i="10"/>
  <c r="G74" i="10"/>
  <c r="E169" i="6"/>
  <c r="F154" i="6"/>
  <c r="E87" i="6"/>
  <c r="H273" i="6"/>
  <c r="G25" i="6"/>
  <c r="F14" i="32"/>
  <c r="G456" i="6"/>
  <c r="F456" i="6"/>
  <c r="D14" i="32"/>
  <c r="D211" i="6"/>
  <c r="G25" i="9"/>
  <c r="G51" i="10"/>
  <c r="D65" i="10"/>
  <c r="H37" i="11"/>
  <c r="H39" i="19"/>
  <c r="D53" i="10"/>
  <c r="F376" i="6"/>
  <c r="D62" i="10"/>
  <c r="H159" i="6"/>
  <c r="H149" i="6"/>
  <c r="F10" i="6"/>
  <c r="D422" i="6"/>
  <c r="F131" i="6"/>
  <c r="H381" i="6"/>
  <c r="G131" i="6"/>
  <c r="D111" i="6"/>
  <c r="G154" i="6"/>
  <c r="E366" i="6"/>
  <c r="D154" i="6"/>
  <c r="G56" i="10"/>
  <c r="G167" i="34"/>
  <c r="E143" i="34"/>
  <c r="G159" i="6"/>
  <c r="H59" i="10"/>
  <c r="G61" i="10"/>
  <c r="G39" i="19"/>
  <c r="F66" i="10"/>
  <c r="F72" i="6"/>
  <c r="E69" i="10"/>
  <c r="E60" i="10"/>
  <c r="G345" i="6"/>
  <c r="F242" i="6"/>
  <c r="D97" i="6"/>
  <c r="E288" i="6"/>
  <c r="E19" i="34"/>
  <c r="E18" i="34" s="1"/>
  <c r="G164" i="6"/>
  <c r="D397" i="6"/>
  <c r="G19" i="34"/>
  <c r="G18" i="34" s="1"/>
  <c r="F350" i="6"/>
  <c r="F237" i="6"/>
  <c r="F51" i="6"/>
  <c r="G221" i="6"/>
  <c r="D391" i="6"/>
  <c r="E10" i="6"/>
  <c r="E66" i="6"/>
  <c r="G10" i="34"/>
  <c r="G9" i="34" s="1"/>
  <c r="E335" i="6"/>
  <c r="E360" i="6"/>
  <c r="G278" i="6"/>
  <c r="E39" i="19"/>
  <c r="F144" i="6"/>
  <c r="G56" i="6"/>
  <c r="E422" i="6"/>
  <c r="H355" i="6"/>
  <c r="F422" i="6"/>
  <c r="F82" i="6"/>
  <c r="F41" i="6"/>
  <c r="F159" i="6"/>
  <c r="H56" i="6"/>
  <c r="G319" i="6"/>
  <c r="E97" i="6"/>
  <c r="G360" i="6"/>
  <c r="D456" i="6"/>
  <c r="H412" i="6"/>
  <c r="F39" i="19"/>
  <c r="D195" i="6"/>
  <c r="G19" i="9"/>
  <c r="E456" i="6"/>
  <c r="F273" i="6" l="1"/>
  <c r="H335" i="6"/>
  <c r="E126" i="6"/>
  <c r="H121" i="6"/>
  <c r="E185" i="6"/>
  <c r="H397" i="6"/>
  <c r="D268" i="6"/>
  <c r="F407" i="6"/>
  <c r="I28" i="10"/>
  <c r="J28" i="10"/>
  <c r="H350" i="6"/>
  <c r="D417" i="6"/>
  <c r="H345" i="6"/>
  <c r="E23" i="32"/>
  <c r="G381" i="6"/>
  <c r="E304" i="6"/>
  <c r="J26" i="10"/>
  <c r="I26" i="10"/>
  <c r="F20" i="6"/>
  <c r="E56" i="6"/>
  <c r="D340" i="6"/>
  <c r="H304" i="6"/>
  <c r="J27" i="10"/>
  <c r="I27" i="10"/>
  <c r="H376" i="6"/>
  <c r="E350" i="6"/>
  <c r="H25" i="6"/>
  <c r="D180" i="6"/>
  <c r="F278" i="6"/>
  <c r="H268" i="6"/>
  <c r="G299" i="6"/>
  <c r="E221" i="6"/>
  <c r="H144" i="6"/>
  <c r="G13" i="13"/>
  <c r="E61" i="6"/>
  <c r="F164" i="6"/>
  <c r="H319" i="6"/>
  <c r="E376" i="6"/>
  <c r="F360" i="6"/>
  <c r="D262" i="6"/>
  <c r="D66" i="6"/>
  <c r="F257" i="6"/>
  <c r="E381" i="6"/>
  <c r="E283" i="6"/>
  <c r="D242" i="6"/>
  <c r="H314" i="6"/>
  <c r="H46" i="6"/>
  <c r="F402" i="6"/>
  <c r="G169" i="6"/>
  <c r="F397" i="6"/>
  <c r="H288" i="6"/>
  <c r="D371" i="6"/>
  <c r="H20" i="6"/>
  <c r="H371" i="6"/>
  <c r="E111" i="10"/>
  <c r="E8" i="13"/>
  <c r="BU8" i="13"/>
  <c r="D12" i="13"/>
  <c r="F13" i="13"/>
  <c r="F412" i="6"/>
  <c r="F211" i="6"/>
  <c r="D386" i="6"/>
  <c r="H402" i="6"/>
  <c r="E28" i="34"/>
  <c r="E27" i="34" s="1"/>
  <c r="G8" i="13"/>
  <c r="G121" i="6"/>
  <c r="D106" i="6"/>
  <c r="J457" i="6"/>
  <c r="I457" i="6"/>
  <c r="I55" i="6"/>
  <c r="J55" i="6"/>
  <c r="BC7" i="13"/>
  <c r="BB7" i="13"/>
  <c r="F46" i="6"/>
  <c r="I33" i="6"/>
  <c r="J33" i="6"/>
  <c r="I14" i="6"/>
  <c r="J14" i="6"/>
  <c r="I69" i="6"/>
  <c r="J69" i="6"/>
  <c r="J346" i="6"/>
  <c r="C345" i="6"/>
  <c r="I346" i="6"/>
  <c r="J328" i="6"/>
  <c r="I328" i="6"/>
  <c r="H40" i="10"/>
  <c r="C407" i="6"/>
  <c r="I408" i="6"/>
  <c r="J408" i="6"/>
  <c r="H60" i="36"/>
  <c r="J60" i="36" s="1"/>
  <c r="J124" i="6"/>
  <c r="I124" i="6"/>
  <c r="J67" i="6"/>
  <c r="I67" i="6"/>
  <c r="C66" i="6"/>
  <c r="G87" i="6"/>
  <c r="E11" i="13"/>
  <c r="J373" i="6"/>
  <c r="I373" i="6"/>
  <c r="C175" i="6"/>
  <c r="I176" i="6"/>
  <c r="J176" i="6"/>
  <c r="H221" i="6"/>
  <c r="J133" i="6"/>
  <c r="H69" i="36"/>
  <c r="J69" i="36" s="1"/>
  <c r="I133" i="6"/>
  <c r="I23" i="6"/>
  <c r="J23" i="6"/>
  <c r="I286" i="6"/>
  <c r="J286" i="6"/>
  <c r="D412" i="6"/>
  <c r="I233" i="6"/>
  <c r="J233" i="6"/>
  <c r="S12" i="13"/>
  <c r="R12" i="13"/>
  <c r="C12" i="13"/>
  <c r="J266" i="6"/>
  <c r="I266" i="6"/>
  <c r="I163" i="6"/>
  <c r="J163" i="6"/>
  <c r="F169" i="6"/>
  <c r="J374" i="6"/>
  <c r="I374" i="6"/>
  <c r="E340" i="6"/>
  <c r="E111" i="6"/>
  <c r="F116" i="6"/>
  <c r="F175" i="6"/>
  <c r="I263" i="6"/>
  <c r="J263" i="6"/>
  <c r="C262" i="6"/>
  <c r="J10" i="19"/>
  <c r="E386" i="6"/>
  <c r="E30" i="6"/>
  <c r="J16" i="10"/>
  <c r="I16" i="10"/>
  <c r="J94" i="10"/>
  <c r="I94" i="10"/>
  <c r="C288" i="6"/>
  <c r="J289" i="6"/>
  <c r="I289" i="6"/>
  <c r="F35" i="6"/>
  <c r="D15" i="13"/>
  <c r="F467" i="6"/>
  <c r="F247" i="6"/>
  <c r="I239" i="6"/>
  <c r="J239" i="6"/>
  <c r="I34" i="34"/>
  <c r="J34" i="34"/>
  <c r="C391" i="6"/>
  <c r="I392" i="6"/>
  <c r="J392" i="6"/>
  <c r="D16" i="13"/>
  <c r="D167" i="34"/>
  <c r="J306" i="6"/>
  <c r="I306" i="6"/>
  <c r="F180" i="6"/>
  <c r="F12" i="13"/>
  <c r="I198" i="6"/>
  <c r="J198" i="6"/>
  <c r="BU15" i="13"/>
  <c r="BT15" i="13"/>
  <c r="I12" i="6"/>
  <c r="J12" i="6"/>
  <c r="AB15" i="13"/>
  <c r="AA15" i="13"/>
  <c r="H41" i="6"/>
  <c r="I474" i="6"/>
  <c r="J474" i="6"/>
  <c r="G10" i="6"/>
  <c r="G35" i="6"/>
  <c r="J342" i="6"/>
  <c r="I342" i="6"/>
  <c r="H126" i="6"/>
  <c r="H14" i="13"/>
  <c r="G407" i="6"/>
  <c r="I79" i="11"/>
  <c r="C39" i="10"/>
  <c r="J79" i="11"/>
  <c r="D75" i="11"/>
  <c r="D38" i="10" s="1"/>
  <c r="I113" i="10"/>
  <c r="H110" i="36"/>
  <c r="G110" i="36" s="1"/>
  <c r="J110" i="36" s="1"/>
  <c r="J113" i="10"/>
  <c r="J18" i="6"/>
  <c r="I18" i="6"/>
  <c r="J11" i="10"/>
  <c r="I11" i="10"/>
  <c r="D402" i="6"/>
  <c r="G252" i="6"/>
  <c r="C309" i="6"/>
  <c r="J310" i="6"/>
  <c r="I310" i="6"/>
  <c r="I22" i="32"/>
  <c r="J22" i="32"/>
  <c r="I182" i="6"/>
  <c r="J182" i="6"/>
  <c r="H366" i="6"/>
  <c r="J312" i="6"/>
  <c r="I312" i="6"/>
  <c r="D293" i="6"/>
  <c r="I43" i="19"/>
  <c r="J43" i="19"/>
  <c r="D366" i="6"/>
  <c r="D86" i="10"/>
  <c r="I21" i="34"/>
  <c r="J21" i="34"/>
  <c r="H206" i="6"/>
  <c r="E5" i="10"/>
  <c r="J254" i="6"/>
  <c r="I254" i="6"/>
  <c r="J323" i="6"/>
  <c r="I323" i="6"/>
  <c r="D71" i="10"/>
  <c r="E412" i="6"/>
  <c r="I112" i="10"/>
  <c r="J112" i="10"/>
  <c r="C111" i="10"/>
  <c r="H109" i="36"/>
  <c r="G109" i="36" s="1"/>
  <c r="J109" i="36" s="1"/>
  <c r="E226" i="6"/>
  <c r="I12" i="19"/>
  <c r="J12" i="19"/>
  <c r="G376" i="6"/>
  <c r="D82" i="6"/>
  <c r="F309" i="6"/>
  <c r="I36" i="19"/>
  <c r="J36" i="19"/>
  <c r="J177" i="6"/>
  <c r="I177" i="6"/>
  <c r="J20" i="19"/>
  <c r="I20" i="19"/>
  <c r="J100" i="10"/>
  <c r="I100" i="10"/>
  <c r="G206" i="6"/>
  <c r="I208" i="6"/>
  <c r="J208" i="6"/>
  <c r="J102" i="10"/>
  <c r="I102" i="10"/>
  <c r="H169" i="6"/>
  <c r="C54" i="19"/>
  <c r="I52" i="19"/>
  <c r="J52" i="19"/>
  <c r="C180" i="6"/>
  <c r="J181" i="6"/>
  <c r="I181" i="6"/>
  <c r="J78" i="11"/>
  <c r="I78" i="11"/>
  <c r="J53" i="26"/>
  <c r="C68" i="10"/>
  <c r="I53" i="26"/>
  <c r="H23" i="32"/>
  <c r="J380" i="6"/>
  <c r="I380" i="6"/>
  <c r="D28" i="34"/>
  <c r="D27" i="34" s="1"/>
  <c r="I41" i="19"/>
  <c r="J41" i="19"/>
  <c r="C231" i="6"/>
  <c r="I232" i="6"/>
  <c r="J232" i="6"/>
  <c r="G144" i="6"/>
  <c r="G314" i="6"/>
  <c r="I91" i="10"/>
  <c r="J91" i="10"/>
  <c r="J44" i="19"/>
  <c r="I44" i="19"/>
  <c r="J57" i="26"/>
  <c r="C72" i="10"/>
  <c r="I57" i="26"/>
  <c r="I14" i="19"/>
  <c r="J14" i="19"/>
  <c r="E50" i="10"/>
  <c r="E61" i="26"/>
  <c r="I60" i="26"/>
  <c r="J60" i="26"/>
  <c r="E77" i="6"/>
  <c r="J453" i="6"/>
  <c r="I453" i="6"/>
  <c r="H467" i="6"/>
  <c r="J27" i="6"/>
  <c r="I27" i="6"/>
  <c r="C56" i="6"/>
  <c r="I57" i="6"/>
  <c r="J57" i="6"/>
  <c r="AK12" i="13"/>
  <c r="AJ12" i="13"/>
  <c r="G40" i="10"/>
  <c r="J22" i="6"/>
  <c r="I22" i="6"/>
  <c r="J327" i="6"/>
  <c r="I327" i="6"/>
  <c r="J95" i="6"/>
  <c r="I95" i="6"/>
  <c r="J59" i="6"/>
  <c r="I59" i="6"/>
  <c r="F92" i="6"/>
  <c r="I401" i="6"/>
  <c r="J401" i="6"/>
  <c r="I368" i="6"/>
  <c r="J368" i="6"/>
  <c r="I160" i="6"/>
  <c r="C159" i="6"/>
  <c r="J160" i="6"/>
  <c r="I23" i="34"/>
  <c r="J23" i="34"/>
  <c r="H231" i="6"/>
  <c r="I403" i="6"/>
  <c r="J403" i="6"/>
  <c r="C402" i="6"/>
  <c r="J104" i="10"/>
  <c r="I104" i="10"/>
  <c r="C467" i="6"/>
  <c r="J461" i="6"/>
  <c r="I461" i="6"/>
  <c r="H25" i="36"/>
  <c r="H72" i="6"/>
  <c r="F40" i="10"/>
  <c r="BB11" i="13"/>
  <c r="BC11" i="13"/>
  <c r="J134" i="6"/>
  <c r="H70" i="36"/>
  <c r="J70" i="36" s="1"/>
  <c r="I134" i="6"/>
  <c r="J36" i="6"/>
  <c r="I36" i="6"/>
  <c r="C35" i="6"/>
  <c r="D51" i="6"/>
  <c r="I317" i="6"/>
  <c r="J317" i="6"/>
  <c r="G77" i="6"/>
  <c r="I241" i="6"/>
  <c r="J241" i="6"/>
  <c r="G45" i="5"/>
  <c r="G26" i="5"/>
  <c r="E20" i="6"/>
  <c r="I302" i="6"/>
  <c r="J302" i="6"/>
  <c r="F319" i="6"/>
  <c r="H11" i="13"/>
  <c r="J38" i="6"/>
  <c r="I38" i="6"/>
  <c r="I215" i="6"/>
  <c r="J215" i="6"/>
  <c r="F200" i="6"/>
  <c r="I152" i="6"/>
  <c r="J152" i="6"/>
  <c r="I353" i="6"/>
  <c r="J353" i="6"/>
  <c r="I128" i="6"/>
  <c r="J128" i="6"/>
  <c r="H64" i="36"/>
  <c r="J64" i="36" s="1"/>
  <c r="I85" i="6"/>
  <c r="J85" i="6"/>
  <c r="H8" i="13"/>
  <c r="I35" i="11"/>
  <c r="J35" i="11"/>
  <c r="D226" i="6"/>
  <c r="I424" i="6"/>
  <c r="J424" i="6"/>
  <c r="J39" i="6"/>
  <c r="I39" i="6"/>
  <c r="J378" i="6"/>
  <c r="I378" i="6"/>
  <c r="H48" i="36"/>
  <c r="I112" i="6"/>
  <c r="J112" i="6"/>
  <c r="C111" i="6"/>
  <c r="C366" i="6"/>
  <c r="I367" i="6"/>
  <c r="J367" i="6"/>
  <c r="G72" i="6"/>
  <c r="D231" i="6"/>
  <c r="D15" i="6"/>
  <c r="I25" i="19"/>
  <c r="J25" i="19"/>
  <c r="I14" i="10"/>
  <c r="J14" i="10"/>
  <c r="J65" i="6"/>
  <c r="I65" i="6"/>
  <c r="G185" i="6"/>
  <c r="J168" i="6"/>
  <c r="I168" i="6"/>
  <c r="F299" i="6"/>
  <c r="I14" i="9"/>
  <c r="J14" i="9"/>
  <c r="B14" i="9" s="1"/>
  <c r="C19" i="9"/>
  <c r="D350" i="6"/>
  <c r="J38" i="11"/>
  <c r="C37" i="11"/>
  <c r="I38" i="11"/>
  <c r="J260" i="6"/>
  <c r="I260" i="6"/>
  <c r="J47" i="19"/>
  <c r="I47" i="19"/>
  <c r="I383" i="6"/>
  <c r="J383" i="6"/>
  <c r="F41" i="11"/>
  <c r="F86" i="10"/>
  <c r="J47" i="11"/>
  <c r="I47" i="11"/>
  <c r="I404" i="6"/>
  <c r="J404" i="6"/>
  <c r="I271" i="6"/>
  <c r="J271" i="6"/>
  <c r="I59" i="26"/>
  <c r="J59" i="26"/>
  <c r="C74" i="10"/>
  <c r="D30" i="11"/>
  <c r="I311" i="6"/>
  <c r="J311" i="6"/>
  <c r="C350" i="6"/>
  <c r="J351" i="6"/>
  <c r="I351" i="6"/>
  <c r="H257" i="6"/>
  <c r="E72" i="10"/>
  <c r="E299" i="6"/>
  <c r="E467" i="6"/>
  <c r="I52" i="26"/>
  <c r="C67" i="10"/>
  <c r="J52" i="26"/>
  <c r="I88" i="10"/>
  <c r="J88" i="10"/>
  <c r="G242" i="6"/>
  <c r="D30" i="6"/>
  <c r="D314" i="6"/>
  <c r="F366" i="6"/>
  <c r="I308" i="6"/>
  <c r="J308" i="6"/>
  <c r="J25" i="10"/>
  <c r="I25" i="10"/>
  <c r="C24" i="10"/>
  <c r="D41" i="11"/>
  <c r="G304" i="6"/>
  <c r="G50" i="10"/>
  <c r="G61" i="26"/>
  <c r="E190" i="6"/>
  <c r="H30" i="11"/>
  <c r="E345" i="6"/>
  <c r="H216" i="6"/>
  <c r="I56" i="26"/>
  <c r="C71" i="10"/>
  <c r="J56" i="26"/>
  <c r="F386" i="6"/>
  <c r="D175" i="6"/>
  <c r="G149" i="6"/>
  <c r="D200" i="6"/>
  <c r="I238" i="6"/>
  <c r="J238" i="6"/>
  <c r="C237" i="6"/>
  <c r="E252" i="6"/>
  <c r="H427" i="6"/>
  <c r="H142" i="34"/>
  <c r="H141" i="34" s="1"/>
  <c r="J153" i="6"/>
  <c r="I153" i="6"/>
  <c r="H309" i="6"/>
  <c r="D335" i="6"/>
  <c r="E324" i="6"/>
  <c r="I105" i="10"/>
  <c r="J105" i="10"/>
  <c r="D273" i="6"/>
  <c r="E30" i="11"/>
  <c r="J45" i="10"/>
  <c r="I45" i="10"/>
  <c r="F111" i="10"/>
  <c r="J96" i="6"/>
  <c r="I96" i="6"/>
  <c r="J147" i="6"/>
  <c r="I147" i="6"/>
  <c r="J337" i="6"/>
  <c r="I337" i="6"/>
  <c r="J63" i="6"/>
  <c r="I63" i="6"/>
  <c r="BT8" i="13"/>
  <c r="G16" i="13"/>
  <c r="J224" i="6"/>
  <c r="I224" i="6"/>
  <c r="F14" i="13"/>
  <c r="J305" i="6"/>
  <c r="C304" i="6"/>
  <c r="I305" i="6"/>
  <c r="G273" i="6"/>
  <c r="I194" i="6"/>
  <c r="J194" i="6"/>
  <c r="I277" i="6"/>
  <c r="J277" i="6"/>
  <c r="S16" i="13"/>
  <c r="C16" i="13"/>
  <c r="R16" i="13"/>
  <c r="E15" i="6"/>
  <c r="J64" i="6"/>
  <c r="I64" i="6"/>
  <c r="J95" i="10"/>
  <c r="I95" i="10"/>
  <c r="C61" i="6"/>
  <c r="I62" i="6"/>
  <c r="J62" i="6"/>
  <c r="BB13" i="13"/>
  <c r="BC13" i="13"/>
  <c r="D20" i="6"/>
  <c r="D13" i="13"/>
  <c r="E14" i="13"/>
  <c r="J101" i="6"/>
  <c r="I101" i="6"/>
  <c r="H35" i="19"/>
  <c r="H43" i="10"/>
  <c r="E149" i="6"/>
  <c r="I155" i="6"/>
  <c r="J155" i="6"/>
  <c r="C154" i="6"/>
  <c r="I279" i="6"/>
  <c r="C278" i="6"/>
  <c r="J279" i="6"/>
  <c r="I390" i="6"/>
  <c r="J390" i="6"/>
  <c r="E12" i="13"/>
  <c r="J118" i="6"/>
  <c r="H54" i="36"/>
  <c r="J54" i="36" s="1"/>
  <c r="I118" i="6"/>
  <c r="J364" i="6"/>
  <c r="I364" i="6"/>
  <c r="I189" i="6"/>
  <c r="J189" i="6"/>
  <c r="E402" i="6"/>
  <c r="G216" i="6"/>
  <c r="J43" i="6"/>
  <c r="I43" i="6"/>
  <c r="E13" i="13"/>
  <c r="D61" i="6"/>
  <c r="G116" i="6"/>
  <c r="H407" i="6"/>
  <c r="J23" i="10"/>
  <c r="I23" i="10"/>
  <c r="J246" i="6"/>
  <c r="I246" i="6"/>
  <c r="J287" i="6"/>
  <c r="I287" i="6"/>
  <c r="E131" i="6"/>
  <c r="C142" i="34"/>
  <c r="I428" i="6"/>
  <c r="J428" i="6"/>
  <c r="C427" i="6"/>
  <c r="J83" i="6"/>
  <c r="I83" i="6"/>
  <c r="C82" i="6"/>
  <c r="I54" i="6"/>
  <c r="J54" i="6"/>
  <c r="I295" i="6"/>
  <c r="J295" i="6"/>
  <c r="I41" i="10"/>
  <c r="C40" i="10"/>
  <c r="J41" i="10"/>
  <c r="F28" i="34"/>
  <c r="F27" i="34" s="1"/>
  <c r="J253" i="6"/>
  <c r="I253" i="6"/>
  <c r="C252" i="6"/>
  <c r="I119" i="6"/>
  <c r="J119" i="6"/>
  <c r="H55" i="36"/>
  <c r="J55" i="36" s="1"/>
  <c r="J425" i="6"/>
  <c r="I425" i="6"/>
  <c r="D257" i="6"/>
  <c r="G14" i="13"/>
  <c r="J406" i="6"/>
  <c r="I406" i="6"/>
  <c r="J74" i="6"/>
  <c r="I74" i="6"/>
  <c r="J394" i="6"/>
  <c r="I394" i="6"/>
  <c r="F324" i="6"/>
  <c r="I7" i="10"/>
  <c r="J7" i="10"/>
  <c r="I32" i="34"/>
  <c r="J32" i="34"/>
  <c r="E206" i="6"/>
  <c r="I31" i="19"/>
  <c r="J31" i="19"/>
  <c r="F185" i="6"/>
  <c r="C51" i="10"/>
  <c r="J36" i="26"/>
  <c r="I36" i="26"/>
  <c r="H111" i="6"/>
  <c r="E144" i="6"/>
  <c r="I230" i="6"/>
  <c r="J230" i="6"/>
  <c r="F45" i="5"/>
  <c r="F26" i="5"/>
  <c r="E273" i="6"/>
  <c r="D149" i="6"/>
  <c r="E293" i="6"/>
  <c r="E19" i="9"/>
  <c r="D19" i="9"/>
  <c r="I29" i="34"/>
  <c r="C28" i="34"/>
  <c r="J29" i="34"/>
  <c r="E242" i="6"/>
  <c r="J6" i="27"/>
  <c r="C16" i="27"/>
  <c r="C76" i="10"/>
  <c r="I6" i="27"/>
  <c r="J32" i="10"/>
  <c r="I32" i="10"/>
  <c r="G75" i="11"/>
  <c r="G38" i="10" s="1"/>
  <c r="BT12" i="13"/>
  <c r="BU12" i="13"/>
  <c r="E319" i="6"/>
  <c r="I101" i="10"/>
  <c r="J101" i="10"/>
  <c r="I387" i="6"/>
  <c r="J387" i="6"/>
  <c r="C386" i="6"/>
  <c r="H247" i="6"/>
  <c r="C77" i="6"/>
  <c r="J78" i="6"/>
  <c r="I78" i="6"/>
  <c r="J86" i="6"/>
  <c r="I86" i="6"/>
  <c r="I166" i="6"/>
  <c r="J166" i="6"/>
  <c r="D355" i="6"/>
  <c r="I318" i="6"/>
  <c r="J318" i="6"/>
  <c r="D87" i="6"/>
  <c r="I44" i="10"/>
  <c r="J44" i="10"/>
  <c r="C43" i="10"/>
  <c r="J90" i="10"/>
  <c r="I90" i="10"/>
  <c r="I42" i="10"/>
  <c r="J42" i="10"/>
  <c r="I93" i="6"/>
  <c r="J93" i="6"/>
  <c r="C92" i="6"/>
  <c r="H5" i="10"/>
  <c r="H87" i="6"/>
  <c r="D61" i="26"/>
  <c r="D50" i="10"/>
  <c r="D169" i="6"/>
  <c r="I40" i="26"/>
  <c r="C55" i="10"/>
  <c r="J40" i="26"/>
  <c r="I8" i="10"/>
  <c r="J8" i="10"/>
  <c r="E76" i="10"/>
  <c r="E75" i="10" s="1"/>
  <c r="E16" i="27"/>
  <c r="C75" i="11"/>
  <c r="J76" i="11"/>
  <c r="I76" i="11"/>
  <c r="J27" i="19"/>
  <c r="I27" i="19"/>
  <c r="F37" i="11"/>
  <c r="D35" i="19"/>
  <c r="D43" i="10"/>
  <c r="G309" i="6"/>
  <c r="I23" i="19"/>
  <c r="J23" i="19"/>
  <c r="H92" i="6"/>
  <c r="G111" i="10"/>
  <c r="I42" i="26"/>
  <c r="C57" i="10"/>
  <c r="J42" i="26"/>
  <c r="J31" i="10"/>
  <c r="I31" i="10"/>
  <c r="D299" i="6"/>
  <c r="F71" i="10"/>
  <c r="J40" i="11"/>
  <c r="I40" i="11"/>
  <c r="E470" i="6"/>
  <c r="E479" i="6"/>
  <c r="I16" i="34"/>
  <c r="J16" i="34"/>
  <c r="E262" i="6"/>
  <c r="I11" i="6"/>
  <c r="J11" i="6"/>
  <c r="C10" i="6"/>
  <c r="J411" i="6"/>
  <c r="I411" i="6"/>
  <c r="J363" i="6"/>
  <c r="I363" i="6"/>
  <c r="J359" i="6"/>
  <c r="I359" i="6"/>
  <c r="S13" i="13"/>
  <c r="R13" i="13"/>
  <c r="C13" i="13"/>
  <c r="C46" i="6"/>
  <c r="J47" i="6"/>
  <c r="I47" i="6"/>
  <c r="J418" i="6"/>
  <c r="I418" i="6"/>
  <c r="C417" i="6"/>
  <c r="J197" i="6"/>
  <c r="I197" i="6"/>
  <c r="S11" i="13"/>
  <c r="C11" i="13"/>
  <c r="R11" i="13"/>
  <c r="I250" i="6"/>
  <c r="J250" i="6"/>
  <c r="R14" i="13"/>
  <c r="S14" i="13"/>
  <c r="C14" i="13"/>
  <c r="C131" i="6"/>
  <c r="H68" i="36"/>
  <c r="J132" i="6"/>
  <c r="I132" i="6"/>
  <c r="AA16" i="13"/>
  <c r="AB16" i="13"/>
  <c r="I50" i="6"/>
  <c r="J50" i="6"/>
  <c r="H59" i="36"/>
  <c r="J59" i="36" s="1"/>
  <c r="J123" i="6"/>
  <c r="I123" i="6"/>
  <c r="I297" i="6"/>
  <c r="J297" i="6"/>
  <c r="F15" i="13"/>
  <c r="G11" i="13"/>
  <c r="F268" i="6"/>
  <c r="J151" i="6"/>
  <c r="I151" i="6"/>
  <c r="J240" i="6"/>
  <c r="I240" i="6"/>
  <c r="F56" i="6"/>
  <c r="J29" i="6"/>
  <c r="I29" i="6"/>
  <c r="J84" i="6"/>
  <c r="I84" i="6"/>
  <c r="I276" i="6"/>
  <c r="J276" i="6"/>
  <c r="J14" i="34"/>
  <c r="I14" i="34"/>
  <c r="G391" i="6"/>
  <c r="J48" i="10"/>
  <c r="I48" i="10"/>
  <c r="H35" i="6"/>
  <c r="F11" i="13"/>
  <c r="AT15" i="13"/>
  <c r="AS15" i="13"/>
  <c r="D46" i="6"/>
  <c r="I127" i="6"/>
  <c r="J127" i="6"/>
  <c r="H63" i="36"/>
  <c r="C126" i="6"/>
  <c r="I26" i="6"/>
  <c r="J26" i="6"/>
  <c r="C25" i="6"/>
  <c r="D247" i="6"/>
  <c r="I187" i="6"/>
  <c r="J187" i="6"/>
  <c r="J88" i="6"/>
  <c r="I88" i="6"/>
  <c r="C87" i="6"/>
  <c r="E92" i="6"/>
  <c r="G66" i="6"/>
  <c r="J214" i="6"/>
  <c r="I214" i="6"/>
  <c r="J217" i="6"/>
  <c r="I217" i="6"/>
  <c r="C216" i="6"/>
  <c r="G247" i="6"/>
  <c r="J251" i="6"/>
  <c r="I251" i="6"/>
  <c r="H10" i="34"/>
  <c r="H9" i="34" s="1"/>
  <c r="J361" i="6"/>
  <c r="I361" i="6"/>
  <c r="C360" i="6"/>
  <c r="AT11" i="13"/>
  <c r="AS11" i="13"/>
  <c r="I259" i="6"/>
  <c r="J259" i="6"/>
  <c r="G350" i="6"/>
  <c r="I354" i="6"/>
  <c r="J354" i="6"/>
  <c r="J344" i="6"/>
  <c r="I344" i="6"/>
  <c r="H417" i="6"/>
  <c r="J320" i="6"/>
  <c r="C319" i="6"/>
  <c r="I320" i="6"/>
  <c r="D345" i="6"/>
  <c r="D467" i="6"/>
  <c r="F25" i="6"/>
  <c r="I89" i="10"/>
  <c r="J89" i="10"/>
  <c r="C116" i="6"/>
  <c r="J117" i="6"/>
  <c r="H53" i="36"/>
  <c r="I117" i="6"/>
  <c r="G15" i="6"/>
  <c r="E397" i="6"/>
  <c r="I113" i="6"/>
  <c r="J113" i="6"/>
  <c r="H49" i="36"/>
  <c r="J49" i="36" s="1"/>
  <c r="E142" i="34"/>
  <c r="E141" i="34" s="1"/>
  <c r="E427" i="6"/>
  <c r="J228" i="6"/>
  <c r="I228" i="6"/>
  <c r="J24" i="34"/>
  <c r="I24" i="34"/>
  <c r="BL15" i="13"/>
  <c r="BK15" i="13"/>
  <c r="G46" i="6"/>
  <c r="J389" i="6"/>
  <c r="I389" i="6"/>
  <c r="J209" i="6"/>
  <c r="I209" i="6"/>
  <c r="I399" i="6"/>
  <c r="J399" i="6"/>
  <c r="I188" i="6"/>
  <c r="J188" i="6"/>
  <c r="I455" i="6"/>
  <c r="J455" i="6"/>
  <c r="E200" i="6"/>
  <c r="G200" i="6"/>
  <c r="J192" i="6"/>
  <c r="I192" i="6"/>
  <c r="J30" i="19"/>
  <c r="I30" i="19"/>
  <c r="G111" i="6"/>
  <c r="J33" i="34"/>
  <c r="I33" i="34"/>
  <c r="J12" i="34"/>
  <c r="I12" i="34"/>
  <c r="D37" i="11"/>
  <c r="J462" i="6"/>
  <c r="I462" i="6"/>
  <c r="C456" i="6"/>
  <c r="H26" i="36"/>
  <c r="J26" i="36" s="1"/>
  <c r="I93" i="10"/>
  <c r="J93" i="10"/>
  <c r="J165" i="6"/>
  <c r="C164" i="6"/>
  <c r="I165" i="6"/>
  <c r="G324" i="6"/>
  <c r="D283" i="6"/>
  <c r="J213" i="6"/>
  <c r="I213" i="6"/>
  <c r="G82" i="6"/>
  <c r="J15" i="34"/>
  <c r="I15" i="34"/>
  <c r="G180" i="6"/>
  <c r="J32" i="19"/>
  <c r="I32" i="19"/>
  <c r="I416" i="6"/>
  <c r="J416" i="6"/>
  <c r="J296" i="6"/>
  <c r="I296" i="6"/>
  <c r="D34" i="1"/>
  <c r="I156" i="6"/>
  <c r="J156" i="6"/>
  <c r="I235" i="6"/>
  <c r="J235" i="6"/>
  <c r="H56" i="36"/>
  <c r="J56" i="36" s="1"/>
  <c r="J120" i="6"/>
  <c r="I120" i="6"/>
  <c r="F19" i="9"/>
  <c r="J475" i="6"/>
  <c r="H90" i="36"/>
  <c r="J90" i="36" s="1"/>
  <c r="I475" i="6"/>
  <c r="I97" i="10"/>
  <c r="J97" i="10"/>
  <c r="J413" i="6"/>
  <c r="C412" i="6"/>
  <c r="I413" i="6"/>
  <c r="E355" i="6"/>
  <c r="J33" i="10"/>
  <c r="I33" i="10"/>
  <c r="G288" i="6"/>
  <c r="E37" i="11"/>
  <c r="I204" i="6"/>
  <c r="J204" i="6"/>
  <c r="J48" i="11"/>
  <c r="I48" i="11"/>
  <c r="J191" i="6"/>
  <c r="I191" i="6"/>
  <c r="C190" i="6"/>
  <c r="C314" i="6"/>
  <c r="J315" i="6"/>
  <c r="I315" i="6"/>
  <c r="F470" i="6"/>
  <c r="F479" i="6"/>
  <c r="I92" i="10"/>
  <c r="J92" i="10"/>
  <c r="BB14" i="13"/>
  <c r="BC14" i="13"/>
  <c r="H24" i="10"/>
  <c r="I294" i="6"/>
  <c r="J294" i="6"/>
  <c r="C293" i="6"/>
  <c r="I13" i="10"/>
  <c r="J13" i="10"/>
  <c r="G43" i="10"/>
  <c r="E10" i="34"/>
  <c r="E9" i="34" s="1"/>
  <c r="E36" i="34" s="1"/>
  <c r="E75" i="11"/>
  <c r="E38" i="10" s="1"/>
  <c r="G195" i="6"/>
  <c r="J473" i="6"/>
  <c r="C479" i="6"/>
  <c r="I473" i="6"/>
  <c r="H88" i="36"/>
  <c r="F30" i="11"/>
  <c r="I245" i="6"/>
  <c r="J245" i="6"/>
  <c r="C200" i="6"/>
  <c r="I201" i="6"/>
  <c r="J201" i="6"/>
  <c r="G28" i="34"/>
  <c r="G27" i="34" s="1"/>
  <c r="G36" i="34" s="1"/>
  <c r="H185" i="6"/>
  <c r="E278" i="6"/>
  <c r="I21" i="32"/>
  <c r="J21" i="32"/>
  <c r="J45" i="6"/>
  <c r="I45" i="6"/>
  <c r="G25" i="5"/>
  <c r="G48" i="5"/>
  <c r="D40" i="10"/>
  <c r="J44" i="6"/>
  <c r="I44" i="6"/>
  <c r="I202" i="6"/>
  <c r="J202" i="6"/>
  <c r="J358" i="6"/>
  <c r="I358" i="6"/>
  <c r="J49" i="6"/>
  <c r="I49" i="6"/>
  <c r="G12" i="13"/>
  <c r="G479" i="6"/>
  <c r="G470" i="6"/>
  <c r="I40" i="19"/>
  <c r="C39" i="19"/>
  <c r="J40" i="19"/>
  <c r="J135" i="6"/>
  <c r="H71" i="36"/>
  <c r="J71" i="36" s="1"/>
  <c r="I135" i="6"/>
  <c r="E417" i="6"/>
  <c r="E25" i="6"/>
  <c r="BU11" i="13"/>
  <c r="BT11" i="13"/>
  <c r="AT13" i="13"/>
  <c r="AS13" i="13"/>
  <c r="J58" i="6"/>
  <c r="I58" i="6"/>
  <c r="BK16" i="13"/>
  <c r="BL16" i="13"/>
  <c r="E106" i="6"/>
  <c r="I173" i="6"/>
  <c r="J173" i="6"/>
  <c r="C149" i="6"/>
  <c r="I150" i="6"/>
  <c r="J150" i="6"/>
  <c r="J225" i="6"/>
  <c r="I225" i="6"/>
  <c r="C63" i="10"/>
  <c r="I48" i="26"/>
  <c r="J48" i="26"/>
  <c r="H154" i="6"/>
  <c r="F345" i="6"/>
  <c r="G51" i="6"/>
  <c r="H51" i="36"/>
  <c r="J51" i="36" s="1"/>
  <c r="I115" i="6"/>
  <c r="J115" i="6"/>
  <c r="D121" i="6"/>
  <c r="D25" i="6"/>
  <c r="D92" i="6"/>
  <c r="I256" i="6"/>
  <c r="J256" i="6"/>
  <c r="C376" i="6"/>
  <c r="J377" i="6"/>
  <c r="I377" i="6"/>
  <c r="C185" i="6"/>
  <c r="J186" i="6"/>
  <c r="I186" i="6"/>
  <c r="I234" i="6"/>
  <c r="J234" i="6"/>
  <c r="J274" i="6"/>
  <c r="I274" i="6"/>
  <c r="C273" i="6"/>
  <c r="F283" i="6"/>
  <c r="J10" i="10"/>
  <c r="I10" i="10"/>
  <c r="J291" i="6"/>
  <c r="I291" i="6"/>
  <c r="I30" i="34"/>
  <c r="J30" i="34"/>
  <c r="E35" i="6"/>
  <c r="G467" i="6"/>
  <c r="F293" i="6"/>
  <c r="H51" i="6"/>
  <c r="H77" i="6"/>
  <c r="I210" i="6"/>
  <c r="J210" i="6"/>
  <c r="C86" i="10"/>
  <c r="I87" i="10"/>
  <c r="J87" i="10"/>
  <c r="G283" i="6"/>
  <c r="G417" i="6"/>
  <c r="E16" i="13"/>
  <c r="F30" i="6"/>
  <c r="F9" i="34"/>
  <c r="G237" i="6"/>
  <c r="D185" i="6"/>
  <c r="F195" i="6"/>
  <c r="I46" i="10"/>
  <c r="J46" i="10"/>
  <c r="E43" i="10"/>
  <c r="I106" i="10"/>
  <c r="J106" i="10"/>
  <c r="BL13" i="13"/>
  <c r="BK13" i="13"/>
  <c r="J272" i="6"/>
  <c r="I272" i="6"/>
  <c r="S15" i="13"/>
  <c r="R15" i="13"/>
  <c r="C15" i="13"/>
  <c r="AA12" i="13"/>
  <c r="AB12" i="13"/>
  <c r="H82" i="6"/>
  <c r="H106" i="6"/>
  <c r="AJ11" i="13"/>
  <c r="AK11" i="13"/>
  <c r="H391" i="6"/>
  <c r="C59" i="10"/>
  <c r="I44" i="26"/>
  <c r="J44" i="26"/>
  <c r="J108" i="10"/>
  <c r="I108" i="10"/>
  <c r="J17" i="10"/>
  <c r="I17" i="10"/>
  <c r="G397" i="6"/>
  <c r="J38" i="26"/>
  <c r="C53" i="10"/>
  <c r="I38" i="26"/>
  <c r="G175" i="6"/>
  <c r="D376" i="6"/>
  <c r="I46" i="11"/>
  <c r="J46" i="11"/>
  <c r="J316" i="6"/>
  <c r="I316" i="6"/>
  <c r="H75" i="11"/>
  <c r="H38" i="10" s="1"/>
  <c r="J13" i="32"/>
  <c r="C14" i="32"/>
  <c r="I13" i="32"/>
  <c r="I24" i="9"/>
  <c r="J24" i="9"/>
  <c r="J184" i="6"/>
  <c r="I184" i="6"/>
  <c r="I77" i="11"/>
  <c r="J77" i="11"/>
  <c r="H25" i="9"/>
  <c r="E71" i="10"/>
  <c r="C50" i="10"/>
  <c r="C61" i="26"/>
  <c r="J35" i="26"/>
  <c r="I35" i="26"/>
  <c r="D324" i="6"/>
  <c r="I33" i="11"/>
  <c r="J33" i="11"/>
  <c r="I379" i="6"/>
  <c r="J379" i="6"/>
  <c r="B379" i="6" s="1"/>
  <c r="G15" i="13"/>
  <c r="G226" i="6"/>
  <c r="E116" i="6"/>
  <c r="J218" i="6"/>
  <c r="I218" i="6"/>
  <c r="D159" i="6"/>
  <c r="F355" i="6"/>
  <c r="I96" i="10"/>
  <c r="J96" i="10"/>
  <c r="E159" i="6"/>
  <c r="H340" i="6"/>
  <c r="H16" i="27"/>
  <c r="H76" i="10"/>
  <c r="H75" i="10" s="1"/>
  <c r="H252" i="6"/>
  <c r="G371" i="6"/>
  <c r="C65" i="10"/>
  <c r="I50" i="26"/>
  <c r="J50" i="26"/>
  <c r="E407" i="6"/>
  <c r="J322" i="6"/>
  <c r="I322" i="6"/>
  <c r="J43" i="26"/>
  <c r="I43" i="26"/>
  <c r="C58" i="10"/>
  <c r="H111" i="10"/>
  <c r="G86" i="10"/>
  <c r="J220" i="6"/>
  <c r="I220" i="6"/>
  <c r="H190" i="6"/>
  <c r="H237" i="6"/>
  <c r="I54" i="26"/>
  <c r="C69" i="10"/>
  <c r="J54" i="26"/>
  <c r="D190" i="6"/>
  <c r="E309" i="6"/>
  <c r="D288" i="6"/>
  <c r="G340" i="6"/>
  <c r="J193" i="6"/>
  <c r="I193" i="6"/>
  <c r="H293" i="6"/>
  <c r="I13" i="34"/>
  <c r="J13" i="34"/>
  <c r="H28" i="34"/>
  <c r="H27" i="34" s="1"/>
  <c r="I114" i="6"/>
  <c r="J114" i="6"/>
  <c r="H50" i="36"/>
  <c r="J50" i="36" s="1"/>
  <c r="G16" i="27"/>
  <c r="G76" i="10"/>
  <c r="G75" i="10" s="1"/>
  <c r="I203" i="6"/>
  <c r="J203" i="6"/>
  <c r="J199" i="6"/>
  <c r="I199" i="6"/>
  <c r="AB8" i="13"/>
  <c r="F340" i="6"/>
  <c r="J398" i="6"/>
  <c r="I398" i="6"/>
  <c r="C397" i="6"/>
  <c r="G20" i="6"/>
  <c r="J21" i="10"/>
  <c r="I21" i="10"/>
  <c r="G402" i="6"/>
  <c r="J148" i="6"/>
  <c r="I148" i="6"/>
  <c r="E40" i="10"/>
  <c r="F16" i="13"/>
  <c r="BB12" i="13"/>
  <c r="BC12" i="13"/>
  <c r="AB14" i="13"/>
  <c r="AA14" i="13"/>
  <c r="H13" i="13"/>
  <c r="G335" i="6"/>
  <c r="G106" i="6"/>
  <c r="I265" i="6"/>
  <c r="J265" i="6"/>
  <c r="J16" i="6"/>
  <c r="I16" i="6"/>
  <c r="C15" i="6"/>
  <c r="J31" i="6"/>
  <c r="C30" i="6"/>
  <c r="I31" i="6"/>
  <c r="I281" i="6"/>
  <c r="J281" i="6"/>
  <c r="J161" i="6"/>
  <c r="I161" i="6"/>
  <c r="I80" i="6"/>
  <c r="J80" i="6"/>
  <c r="D35" i="6"/>
  <c r="J385" i="6"/>
  <c r="I385" i="6"/>
  <c r="F5" i="10"/>
  <c r="I338" i="6"/>
  <c r="J338" i="6"/>
  <c r="G126" i="6"/>
  <c r="I275" i="6"/>
  <c r="J275" i="6"/>
  <c r="I76" i="6"/>
  <c r="J76" i="6"/>
  <c r="C169" i="6"/>
  <c r="I170" i="6"/>
  <c r="J170" i="6"/>
  <c r="E121" i="6"/>
  <c r="I229" i="6"/>
  <c r="J229" i="6"/>
  <c r="D19" i="34"/>
  <c r="D18" i="34" s="1"/>
  <c r="E231" i="6"/>
  <c r="BB15" i="13"/>
  <c r="BC15" i="13"/>
  <c r="D25" i="9"/>
  <c r="J157" i="6"/>
  <c r="I157" i="6"/>
  <c r="D479" i="6"/>
  <c r="D470" i="6"/>
  <c r="J409" i="6"/>
  <c r="I409" i="6"/>
  <c r="F87" i="6"/>
  <c r="J49" i="11"/>
  <c r="I49" i="11"/>
  <c r="I415" i="6"/>
  <c r="J415" i="6"/>
  <c r="I81" i="6"/>
  <c r="J81" i="6"/>
  <c r="I219" i="6"/>
  <c r="J219" i="6"/>
  <c r="I352" i="6"/>
  <c r="J352" i="6"/>
  <c r="I325" i="6"/>
  <c r="J325" i="6"/>
  <c r="C324" i="6"/>
  <c r="H200" i="6"/>
  <c r="G190" i="6"/>
  <c r="H116" i="6"/>
  <c r="J405" i="6"/>
  <c r="I405" i="6"/>
  <c r="J125" i="6"/>
  <c r="H61" i="36"/>
  <c r="J61" i="36" s="1"/>
  <c r="I125" i="6"/>
  <c r="F77" i="6"/>
  <c r="F190" i="6"/>
  <c r="I19" i="6"/>
  <c r="J19" i="6"/>
  <c r="F304" i="6"/>
  <c r="I158" i="6"/>
  <c r="J158" i="6"/>
  <c r="G5" i="10"/>
  <c r="BL14" i="13"/>
  <c r="BK14" i="13"/>
  <c r="E15" i="13"/>
  <c r="D360" i="6"/>
  <c r="G355" i="6"/>
  <c r="F288" i="6"/>
  <c r="I29" i="19"/>
  <c r="J29" i="19"/>
  <c r="F16" i="27"/>
  <c r="F76" i="10"/>
  <c r="F75" i="10" s="1"/>
  <c r="D5" i="10"/>
  <c r="E45" i="5"/>
  <c r="E26" i="5"/>
  <c r="C221" i="6"/>
  <c r="I222" i="6"/>
  <c r="J222" i="6"/>
  <c r="G41" i="6"/>
  <c r="I129" i="6"/>
  <c r="J129" i="6"/>
  <c r="H65" i="36"/>
  <c r="J65" i="36" s="1"/>
  <c r="J90" i="6"/>
  <c r="I90" i="6"/>
  <c r="I13" i="6"/>
  <c r="J13" i="6"/>
  <c r="H422" i="6"/>
  <c r="F149" i="6"/>
  <c r="C56" i="10"/>
  <c r="J41" i="26"/>
  <c r="I41" i="26"/>
  <c r="I110" i="10"/>
  <c r="J110" i="10"/>
  <c r="J109" i="6"/>
  <c r="H45" i="36"/>
  <c r="J45" i="36" s="1"/>
  <c r="I109" i="6"/>
  <c r="E175" i="6"/>
  <c r="F72" i="10"/>
  <c r="I400" i="6"/>
  <c r="J400" i="6"/>
  <c r="B400" i="6" s="1"/>
  <c r="E216" i="6"/>
  <c r="C381" i="6"/>
  <c r="J382" i="6"/>
  <c r="I382" i="6"/>
  <c r="D76" i="10"/>
  <c r="D75" i="10" s="1"/>
  <c r="D16" i="27"/>
  <c r="H299" i="6"/>
  <c r="H278" i="6"/>
  <c r="C61" i="10"/>
  <c r="I46" i="26"/>
  <c r="J46" i="26"/>
  <c r="J26" i="34"/>
  <c r="I26" i="34"/>
  <c r="J34" i="11"/>
  <c r="I34" i="11"/>
  <c r="J341" i="6"/>
  <c r="I341" i="6"/>
  <c r="C340" i="6"/>
  <c r="I31" i="11"/>
  <c r="C30" i="11"/>
  <c r="J31" i="11"/>
  <c r="I22" i="10"/>
  <c r="J22" i="10"/>
  <c r="H283" i="6"/>
  <c r="I11" i="34"/>
  <c r="J11" i="34"/>
  <c r="C10" i="34"/>
  <c r="F15" i="6"/>
  <c r="D24" i="10"/>
  <c r="J261" i="6"/>
  <c r="I261" i="6"/>
  <c r="F314" i="6"/>
  <c r="E195" i="6"/>
  <c r="G231" i="6"/>
  <c r="D407" i="6"/>
  <c r="I223" i="6"/>
  <c r="J223" i="6"/>
  <c r="F126" i="6"/>
  <c r="I384" i="6"/>
  <c r="J384" i="6"/>
  <c r="B384" i="6" s="1"/>
  <c r="H386" i="6"/>
  <c r="G71" i="10"/>
  <c r="I17" i="34"/>
  <c r="J17" i="34"/>
  <c r="E34" i="1"/>
  <c r="F167" i="34"/>
  <c r="D221" i="6"/>
  <c r="I89" i="6"/>
  <c r="J89" i="6"/>
  <c r="J347" i="6"/>
  <c r="I347" i="6"/>
  <c r="G72" i="10"/>
  <c r="I178" i="6"/>
  <c r="J178" i="6"/>
  <c r="J300" i="6"/>
  <c r="C299" i="6"/>
  <c r="I300" i="6"/>
  <c r="H131" i="6"/>
  <c r="G386" i="6"/>
  <c r="J43" i="11"/>
  <c r="I43" i="11"/>
  <c r="G422" i="6"/>
  <c r="J25" i="34"/>
  <c r="I25" i="34"/>
  <c r="F221" i="6"/>
  <c r="I47" i="10"/>
  <c r="J47" i="10"/>
  <c r="G23" i="32"/>
  <c r="I44" i="11"/>
  <c r="J44" i="11"/>
  <c r="H41" i="11"/>
  <c r="H470" i="6"/>
  <c r="H479" i="6"/>
  <c r="F43" i="10"/>
  <c r="G268" i="6"/>
  <c r="C20" i="6"/>
  <c r="J21" i="6"/>
  <c r="I21" i="6"/>
  <c r="J388" i="6"/>
  <c r="I388" i="6"/>
  <c r="E154" i="6"/>
  <c r="I94" i="6"/>
  <c r="J94" i="6"/>
  <c r="H180" i="6"/>
  <c r="I369" i="6"/>
  <c r="J369" i="6"/>
  <c r="E72" i="6"/>
  <c r="H61" i="26"/>
  <c r="H50" i="10"/>
  <c r="D164" i="6"/>
  <c r="C371" i="6"/>
  <c r="J372" i="6"/>
  <c r="I372" i="6"/>
  <c r="I68" i="6"/>
  <c r="J68" i="6"/>
  <c r="H27" i="36"/>
  <c r="J27" i="36" s="1"/>
  <c r="J463" i="6"/>
  <c r="I463" i="6"/>
  <c r="J349" i="6"/>
  <c r="I349" i="6"/>
  <c r="J48" i="6"/>
  <c r="I48" i="6"/>
  <c r="I429" i="6"/>
  <c r="J429" i="6"/>
  <c r="C143" i="34"/>
  <c r="H46" i="36"/>
  <c r="I110" i="6"/>
  <c r="J110" i="6"/>
  <c r="J179" i="6"/>
  <c r="I179" i="6"/>
  <c r="J23" i="9"/>
  <c r="I23" i="9"/>
  <c r="C25" i="9"/>
  <c r="J100" i="6"/>
  <c r="I100" i="6"/>
  <c r="J301" i="6"/>
  <c r="I301" i="6"/>
  <c r="I37" i="6"/>
  <c r="J37" i="6"/>
  <c r="AS12" i="13"/>
  <c r="AT12" i="13"/>
  <c r="J24" i="6"/>
  <c r="I24" i="6"/>
  <c r="J321" i="6"/>
  <c r="I321" i="6"/>
  <c r="I227" i="6"/>
  <c r="J227" i="6"/>
  <c r="C226" i="6"/>
  <c r="C422" i="6"/>
  <c r="I423" i="6"/>
  <c r="J423" i="6"/>
  <c r="D10" i="6"/>
  <c r="I91" i="6"/>
  <c r="J91" i="6"/>
  <c r="J108" i="6"/>
  <c r="H44" i="36"/>
  <c r="J44" i="36" s="1"/>
  <c r="I108" i="6"/>
  <c r="J16" i="9"/>
  <c r="B16" i="9" s="1"/>
  <c r="I16" i="9"/>
  <c r="J22" i="19"/>
  <c r="I22" i="19"/>
  <c r="D206" i="6"/>
  <c r="D142" i="34"/>
  <c r="D141" i="34" s="1"/>
  <c r="D427" i="6"/>
  <c r="I284" i="6"/>
  <c r="J284" i="6"/>
  <c r="C283" i="6"/>
  <c r="H30" i="6"/>
  <c r="F231" i="6"/>
  <c r="J243" i="6"/>
  <c r="I243" i="6"/>
  <c r="C242" i="6"/>
  <c r="I420" i="6"/>
  <c r="J420" i="6"/>
  <c r="D56" i="6"/>
  <c r="J35" i="34"/>
  <c r="I35" i="34"/>
  <c r="I15" i="9"/>
  <c r="J15" i="9"/>
  <c r="B15" i="9" s="1"/>
  <c r="I303" i="6"/>
  <c r="J303" i="6"/>
  <c r="I255" i="6"/>
  <c r="J255" i="6"/>
  <c r="E41" i="6"/>
  <c r="BT16" i="13"/>
  <c r="BU16" i="13"/>
  <c r="D304" i="6"/>
  <c r="F121" i="6"/>
  <c r="J98" i="10"/>
  <c r="I98" i="10"/>
  <c r="I52" i="6"/>
  <c r="J52" i="6"/>
  <c r="C51" i="6"/>
  <c r="I107" i="6"/>
  <c r="H43" i="36"/>
  <c r="J107" i="6"/>
  <c r="C106" i="6"/>
  <c r="J290" i="6"/>
  <c r="I290" i="6"/>
  <c r="H167" i="34"/>
  <c r="D77" i="6"/>
  <c r="E46" i="6"/>
  <c r="H15" i="6"/>
  <c r="H16" i="13"/>
  <c r="J339" i="6"/>
  <c r="I339" i="6"/>
  <c r="J280" i="6"/>
  <c r="I280" i="6"/>
  <c r="J414" i="6"/>
  <c r="I414" i="6"/>
  <c r="J212" i="6"/>
  <c r="C211" i="6"/>
  <c r="I212" i="6"/>
  <c r="J37" i="26"/>
  <c r="I37" i="26"/>
  <c r="C52" i="10"/>
  <c r="I15" i="10"/>
  <c r="J15" i="10"/>
  <c r="H66" i="6"/>
  <c r="J336" i="6"/>
  <c r="C335" i="6"/>
  <c r="I336" i="6"/>
  <c r="I146" i="6"/>
  <c r="J146" i="6"/>
  <c r="F206" i="6"/>
  <c r="E51" i="6"/>
  <c r="I73" i="6"/>
  <c r="C72" i="6"/>
  <c r="J73" i="6"/>
  <c r="D131" i="6"/>
  <c r="I348" i="6"/>
  <c r="J348" i="6"/>
  <c r="AA13" i="13"/>
  <c r="AB13" i="13"/>
  <c r="E167" i="34"/>
  <c r="BU13" i="13"/>
  <c r="BT13" i="13"/>
  <c r="I172" i="6"/>
  <c r="J172" i="6"/>
  <c r="J17" i="6"/>
  <c r="I17" i="6"/>
  <c r="J70" i="6"/>
  <c r="I70" i="6"/>
  <c r="H61" i="6"/>
  <c r="D72" i="10"/>
  <c r="I50" i="19"/>
  <c r="J50" i="19"/>
  <c r="G41" i="11"/>
  <c r="J39" i="26"/>
  <c r="I39" i="26"/>
  <c r="C54" i="10"/>
  <c r="E39" i="5"/>
  <c r="E28" i="5"/>
  <c r="E27" i="5" s="1"/>
  <c r="J343" i="6"/>
  <c r="I343" i="6"/>
  <c r="F226" i="6"/>
  <c r="I75" i="6"/>
  <c r="J75" i="6"/>
  <c r="J49" i="26"/>
  <c r="C64" i="10"/>
  <c r="I49" i="26"/>
  <c r="I12" i="10"/>
  <c r="J12" i="10"/>
  <c r="E314" i="6"/>
  <c r="F417" i="6"/>
  <c r="I313" i="6"/>
  <c r="J313" i="6"/>
  <c r="F111" i="6"/>
  <c r="E180" i="6"/>
  <c r="C144" i="6"/>
  <c r="J145" i="6"/>
  <c r="I145" i="6"/>
  <c r="AJ15" i="13"/>
  <c r="AK15" i="13"/>
  <c r="F23" i="32"/>
  <c r="E86" i="10"/>
  <c r="J20" i="34"/>
  <c r="I20" i="34"/>
  <c r="C19" i="34"/>
  <c r="F216" i="6"/>
  <c r="D72" i="6"/>
  <c r="E371" i="6"/>
  <c r="I419" i="6"/>
  <c r="J419" i="6"/>
  <c r="J47" i="26"/>
  <c r="I47" i="26"/>
  <c r="C62" i="10"/>
  <c r="C355" i="6"/>
  <c r="J356" i="6"/>
  <c r="I356" i="6"/>
  <c r="F262" i="6"/>
  <c r="G262" i="6"/>
  <c r="I16" i="19"/>
  <c r="J16" i="19"/>
  <c r="J307" i="6"/>
  <c r="I307" i="6"/>
  <c r="I48" i="19"/>
  <c r="J48" i="19"/>
  <c r="D309" i="6"/>
  <c r="J375" i="6"/>
  <c r="I375" i="6"/>
  <c r="I20" i="32"/>
  <c r="J20" i="32"/>
  <c r="C23" i="32"/>
  <c r="I34" i="6"/>
  <c r="J34" i="6"/>
  <c r="AJ14" i="13"/>
  <c r="AK14" i="13"/>
  <c r="D116" i="6"/>
  <c r="H211" i="6"/>
  <c r="F50" i="10"/>
  <c r="F61" i="26"/>
  <c r="F391" i="6"/>
  <c r="D216" i="6"/>
  <c r="I51" i="26"/>
  <c r="C66" i="10"/>
  <c r="J51" i="26"/>
  <c r="I264" i="6"/>
  <c r="J264" i="6"/>
  <c r="J103" i="10"/>
  <c r="I103" i="10"/>
  <c r="I49" i="19"/>
  <c r="J49" i="19"/>
  <c r="J292" i="6"/>
  <c r="I292" i="6"/>
  <c r="J326" i="6"/>
  <c r="I326" i="6"/>
  <c r="F97" i="6"/>
  <c r="I33" i="19"/>
  <c r="J33" i="19"/>
  <c r="H195" i="6"/>
  <c r="I45" i="11"/>
  <c r="J45" i="11"/>
  <c r="J18" i="9"/>
  <c r="B18" i="9" s="1"/>
  <c r="I18" i="9"/>
  <c r="I58" i="26"/>
  <c r="C73" i="10"/>
  <c r="J58" i="26"/>
  <c r="AS16" i="13"/>
  <c r="AT16" i="13"/>
  <c r="G97" i="6"/>
  <c r="F335" i="6"/>
  <c r="J60" i="6"/>
  <c r="I60" i="6"/>
  <c r="J122" i="6"/>
  <c r="I122" i="6"/>
  <c r="C121" i="6"/>
  <c r="H58" i="36"/>
  <c r="H10" i="6"/>
  <c r="J426" i="6"/>
  <c r="I426" i="6"/>
  <c r="J357" i="6"/>
  <c r="I357" i="6"/>
  <c r="C97" i="6"/>
  <c r="J98" i="6"/>
  <c r="I98" i="6"/>
  <c r="J421" i="6"/>
  <c r="I421" i="6"/>
  <c r="J393" i="6"/>
  <c r="I393" i="6"/>
  <c r="I183" i="6"/>
  <c r="J183" i="6"/>
  <c r="I79" i="6"/>
  <c r="J79" i="6"/>
  <c r="J258" i="6"/>
  <c r="C257" i="6"/>
  <c r="I258" i="6"/>
  <c r="E391" i="6"/>
  <c r="I17" i="9"/>
  <c r="J17" i="9"/>
  <c r="B17" i="9" s="1"/>
  <c r="I244" i="6"/>
  <c r="J244" i="6"/>
  <c r="I196" i="6"/>
  <c r="J196" i="6"/>
  <c r="C195" i="6"/>
  <c r="I28" i="6"/>
  <c r="J28" i="6"/>
  <c r="J20" i="10"/>
  <c r="I20" i="10"/>
  <c r="J362" i="6"/>
  <c r="I362" i="6"/>
  <c r="AJ16" i="13"/>
  <c r="AK16" i="13"/>
  <c r="I11" i="19"/>
  <c r="J11" i="19"/>
  <c r="I36" i="11"/>
  <c r="J36" i="11"/>
  <c r="D14" i="13"/>
  <c r="H12" i="13"/>
  <c r="G24" i="10"/>
  <c r="G211" i="6"/>
  <c r="I9" i="10"/>
  <c r="J9" i="10"/>
  <c r="H19" i="34"/>
  <c r="H18" i="34" s="1"/>
  <c r="I6" i="10"/>
  <c r="J6" i="10"/>
  <c r="C5" i="10"/>
  <c r="D144" i="6"/>
  <c r="F66" i="6"/>
  <c r="H242" i="6"/>
  <c r="H262" i="6"/>
  <c r="E82" i="6"/>
  <c r="J171" i="6"/>
  <c r="I171" i="6"/>
  <c r="H360" i="6"/>
  <c r="J410" i="6"/>
  <c r="I410" i="6"/>
  <c r="E211" i="6"/>
  <c r="G92" i="6"/>
  <c r="G412" i="6"/>
  <c r="H15" i="13"/>
  <c r="H175" i="6"/>
  <c r="D278" i="6"/>
  <c r="J269" i="6"/>
  <c r="C268" i="6"/>
  <c r="I269" i="6"/>
  <c r="J249" i="6"/>
  <c r="I249" i="6"/>
  <c r="AK13" i="13"/>
  <c r="AJ13" i="13"/>
  <c r="H226" i="6"/>
  <c r="J162" i="6"/>
  <c r="I162" i="6"/>
  <c r="G30" i="6"/>
  <c r="AA11" i="13"/>
  <c r="AB11" i="13"/>
  <c r="BC16" i="13"/>
  <c r="BB16" i="13"/>
  <c r="I370" i="6"/>
  <c r="J370" i="6"/>
  <c r="F427" i="6"/>
  <c r="F142" i="34"/>
  <c r="F141" i="34" s="1"/>
  <c r="BU14" i="13"/>
  <c r="BT14" i="13"/>
  <c r="D381" i="6"/>
  <c r="J167" i="6"/>
  <c r="I167" i="6"/>
  <c r="J53" i="6"/>
  <c r="I53" i="6"/>
  <c r="AT14" i="13"/>
  <c r="AS14" i="13"/>
  <c r="G293" i="6"/>
  <c r="I99" i="6"/>
  <c r="J99" i="6"/>
  <c r="I42" i="6"/>
  <c r="J42" i="6"/>
  <c r="C41" i="6"/>
  <c r="G427" i="6"/>
  <c r="G142" i="34"/>
  <c r="G141" i="34" s="1"/>
  <c r="H324" i="6"/>
  <c r="D319" i="6"/>
  <c r="H19" i="9"/>
  <c r="D10" i="34"/>
  <c r="D9" i="34" s="1"/>
  <c r="G366" i="6"/>
  <c r="D237" i="6"/>
  <c r="J32" i="6"/>
  <c r="I32" i="6"/>
  <c r="I9" i="32"/>
  <c r="J9" i="32"/>
  <c r="J270" i="6"/>
  <c r="I270" i="6"/>
  <c r="I17" i="19"/>
  <c r="J17" i="19"/>
  <c r="J31" i="34"/>
  <c r="I31" i="34"/>
  <c r="G30" i="11"/>
  <c r="D23" i="32"/>
  <c r="I22" i="34"/>
  <c r="J22" i="34"/>
  <c r="I32" i="11"/>
  <c r="J32" i="11"/>
  <c r="F106" i="6"/>
  <c r="F18" i="34"/>
  <c r="C70" i="10"/>
  <c r="I55" i="26"/>
  <c r="J55" i="26"/>
  <c r="G37" i="11"/>
  <c r="F252" i="6"/>
  <c r="J99" i="10"/>
  <c r="I99" i="10"/>
  <c r="H164" i="6"/>
  <c r="F61" i="6"/>
  <c r="E164" i="6"/>
  <c r="G257" i="6"/>
  <c r="I42" i="11"/>
  <c r="J42" i="11"/>
  <c r="C41" i="11"/>
  <c r="I107" i="10"/>
  <c r="J107" i="10"/>
  <c r="E24" i="10"/>
  <c r="E247" i="6"/>
  <c r="I30" i="10"/>
  <c r="J30" i="10"/>
  <c r="I26" i="19"/>
  <c r="J26" i="19"/>
  <c r="G61" i="6"/>
  <c r="J18" i="10"/>
  <c r="I18" i="10"/>
  <c r="I39" i="11"/>
  <c r="J39" i="11"/>
  <c r="J19" i="10"/>
  <c r="I19" i="10"/>
  <c r="F24" i="10"/>
  <c r="E41" i="11"/>
  <c r="E237" i="6"/>
  <c r="I395" i="6"/>
  <c r="J395" i="6"/>
  <c r="I282" i="6"/>
  <c r="J282" i="6"/>
  <c r="H72" i="10"/>
  <c r="H71" i="10"/>
  <c r="H97" i="6"/>
  <c r="H86" i="10"/>
  <c r="I285" i="6"/>
  <c r="J285" i="6"/>
  <c r="C60" i="10"/>
  <c r="J45" i="26"/>
  <c r="I45" i="26"/>
  <c r="I207" i="6"/>
  <c r="C206" i="6"/>
  <c r="J207" i="6"/>
  <c r="J29" i="10"/>
  <c r="I29" i="10"/>
  <c r="J248" i="6"/>
  <c r="C247" i="6"/>
  <c r="I248" i="6"/>
  <c r="I130" i="6"/>
  <c r="J130" i="6"/>
  <c r="H66" i="36"/>
  <c r="J66" i="36" s="1"/>
  <c r="F381" i="6"/>
  <c r="D252" i="6"/>
  <c r="E257" i="6"/>
  <c r="D11" i="13"/>
  <c r="D41" i="6"/>
  <c r="D8" i="13" l="1"/>
  <c r="E35" i="19"/>
  <c r="B410" i="6"/>
  <c r="B426" i="6"/>
  <c r="B375" i="6"/>
  <c r="AK7" i="13"/>
  <c r="BC8" i="13"/>
  <c r="B357" i="6"/>
  <c r="B356" i="6"/>
  <c r="E50" i="11"/>
  <c r="F396" i="6"/>
  <c r="D7" i="13"/>
  <c r="D53" i="1" s="1"/>
  <c r="AA8" i="13"/>
  <c r="B414" i="6"/>
  <c r="B352" i="6"/>
  <c r="B248" i="6"/>
  <c r="AB7" i="13"/>
  <c r="B207" i="6"/>
  <c r="D396" i="6"/>
  <c r="F8" i="13"/>
  <c r="B270" i="6"/>
  <c r="B188" i="6"/>
  <c r="B167" i="6"/>
  <c r="B322" i="6"/>
  <c r="G35" i="19"/>
  <c r="F50" i="11"/>
  <c r="G298" i="6"/>
  <c r="F7" i="13"/>
  <c r="F53" i="1" s="1"/>
  <c r="B348" i="6"/>
  <c r="B415" i="6"/>
  <c r="B281" i="6"/>
  <c r="B419" i="6"/>
  <c r="B405" i="6"/>
  <c r="B354" i="6"/>
  <c r="B171" i="6"/>
  <c r="F334" i="6"/>
  <c r="B301" i="6"/>
  <c r="H9" i="6"/>
  <c r="H5" i="5" s="1"/>
  <c r="B146" i="6"/>
  <c r="B423" i="6"/>
  <c r="B416" i="6"/>
  <c r="B383" i="6"/>
  <c r="B260" i="6"/>
  <c r="B388" i="6"/>
  <c r="BB8" i="13"/>
  <c r="B307" i="6"/>
  <c r="D267" i="6"/>
  <c r="B269" i="6"/>
  <c r="G23" i="5"/>
  <c r="F136" i="6"/>
  <c r="D71" i="6"/>
  <c r="D7" i="5" s="1"/>
  <c r="B339" i="6"/>
  <c r="E9" i="6"/>
  <c r="E5" i="5" s="1"/>
  <c r="D36" i="34"/>
  <c r="B183" i="6"/>
  <c r="H267" i="6"/>
  <c r="B395" i="6"/>
  <c r="F40" i="6"/>
  <c r="F6" i="5" s="1"/>
  <c r="B234" i="6"/>
  <c r="B377" i="6"/>
  <c r="D23" i="5"/>
  <c r="F35" i="19"/>
  <c r="B285" i="6"/>
  <c r="B284" i="6"/>
  <c r="H334" i="6"/>
  <c r="B358" i="6"/>
  <c r="B192" i="6"/>
  <c r="F236" i="6"/>
  <c r="B258" i="6"/>
  <c r="B393" i="6"/>
  <c r="B370" i="6"/>
  <c r="H174" i="6"/>
  <c r="B244" i="6"/>
  <c r="B20" i="32"/>
  <c r="F42" i="5"/>
  <c r="B336" i="6"/>
  <c r="B179" i="6"/>
  <c r="H42" i="5"/>
  <c r="F9" i="6"/>
  <c r="F5" i="5" s="1"/>
  <c r="E267" i="6"/>
  <c r="C443" i="6"/>
  <c r="C159" i="34" s="1"/>
  <c r="H396" i="6"/>
  <c r="B353" i="6"/>
  <c r="B342" i="6"/>
  <c r="D43" i="5"/>
  <c r="D136" i="6"/>
  <c r="B372" i="6"/>
  <c r="B347" i="6"/>
  <c r="B229" i="6"/>
  <c r="B338" i="6"/>
  <c r="E20" i="5"/>
  <c r="H143" i="6"/>
  <c r="E334" i="6"/>
  <c r="B425" i="6"/>
  <c r="H20" i="5"/>
  <c r="D40" i="6"/>
  <c r="D6" i="5" s="1"/>
  <c r="G365" i="6"/>
  <c r="B162" i="6"/>
  <c r="B249" i="6"/>
  <c r="B420" i="6"/>
  <c r="B222" i="6"/>
  <c r="B399" i="6"/>
  <c r="F71" i="6"/>
  <c r="F7" i="5" s="1"/>
  <c r="B272" i="6"/>
  <c r="B173" i="6"/>
  <c r="B424" i="6"/>
  <c r="B362" i="6"/>
  <c r="B282" i="6"/>
  <c r="F36" i="34"/>
  <c r="B196" i="6"/>
  <c r="E365" i="6"/>
  <c r="B303" i="6"/>
  <c r="G334" i="6"/>
  <c r="B274" i="6"/>
  <c r="G42" i="5"/>
  <c r="B315" i="6"/>
  <c r="B404" i="6"/>
  <c r="H7" i="13"/>
  <c r="H23" i="5"/>
  <c r="B394" i="6"/>
  <c r="B406" i="6"/>
  <c r="F56" i="1"/>
  <c r="C26" i="1"/>
  <c r="J5" i="10"/>
  <c r="I5" i="10"/>
  <c r="I66" i="10"/>
  <c r="J66" i="10"/>
  <c r="F27" i="1"/>
  <c r="G50" i="11"/>
  <c r="AS8" i="13"/>
  <c r="AT8" i="13"/>
  <c r="D236" i="6"/>
  <c r="G27" i="1"/>
  <c r="J257" i="6"/>
  <c r="I257" i="6"/>
  <c r="I144" i="6"/>
  <c r="J144" i="6"/>
  <c r="C143" i="6"/>
  <c r="I64" i="10"/>
  <c r="J64" i="10"/>
  <c r="B172" i="6"/>
  <c r="F205" i="6"/>
  <c r="I52" i="10"/>
  <c r="J52" i="10"/>
  <c r="J51" i="6"/>
  <c r="I51" i="6"/>
  <c r="B243" i="6"/>
  <c r="J143" i="34"/>
  <c r="I143" i="34"/>
  <c r="AA7" i="13"/>
  <c r="B369" i="6"/>
  <c r="B341" i="6"/>
  <c r="I381" i="6"/>
  <c r="J381" i="6"/>
  <c r="D26" i="1"/>
  <c r="G26" i="1"/>
  <c r="J324" i="6"/>
  <c r="I324" i="6"/>
  <c r="B409" i="6"/>
  <c r="F26" i="1"/>
  <c r="B193" i="6"/>
  <c r="I65" i="10"/>
  <c r="J65" i="10"/>
  <c r="B291" i="6"/>
  <c r="D28" i="19"/>
  <c r="D24" i="19" s="1"/>
  <c r="D29" i="1"/>
  <c r="B21" i="32"/>
  <c r="G30" i="1"/>
  <c r="D34" i="62"/>
  <c r="B389" i="6"/>
  <c r="B228" i="6"/>
  <c r="E396" i="6"/>
  <c r="B344" i="6"/>
  <c r="H36" i="34"/>
  <c r="J216" i="6"/>
  <c r="I216" i="6"/>
  <c r="B418" i="6"/>
  <c r="J46" i="6"/>
  <c r="I46" i="6"/>
  <c r="D46" i="19"/>
  <c r="D45" i="19" s="1"/>
  <c r="C75" i="10"/>
  <c r="J76" i="10"/>
  <c r="I76" i="10"/>
  <c r="E25" i="5"/>
  <c r="E24" i="5" s="1"/>
  <c r="E48" i="5"/>
  <c r="B230" i="6"/>
  <c r="J304" i="6"/>
  <c r="I304" i="6"/>
  <c r="I67" i="10"/>
  <c r="J67" i="10"/>
  <c r="E298" i="6"/>
  <c r="B311" i="6"/>
  <c r="F298" i="6"/>
  <c r="H47" i="36"/>
  <c r="J47" i="36" s="1"/>
  <c r="J48" i="36"/>
  <c r="I402" i="6"/>
  <c r="J402" i="6"/>
  <c r="E46" i="19"/>
  <c r="E45" i="19" s="1"/>
  <c r="J180" i="6"/>
  <c r="I180" i="6"/>
  <c r="B323" i="6"/>
  <c r="B254" i="6"/>
  <c r="H365" i="6"/>
  <c r="J262" i="6"/>
  <c r="I262" i="6"/>
  <c r="H28" i="19"/>
  <c r="H24" i="19" s="1"/>
  <c r="H29" i="1"/>
  <c r="I345" i="6"/>
  <c r="J345" i="6"/>
  <c r="C7" i="13"/>
  <c r="E236" i="6"/>
  <c r="I60" i="10"/>
  <c r="J60" i="10"/>
  <c r="I41" i="6"/>
  <c r="J41" i="6"/>
  <c r="C40" i="6"/>
  <c r="F47" i="5"/>
  <c r="F29" i="5"/>
  <c r="D39" i="5"/>
  <c r="D28" i="5"/>
  <c r="D27" i="5" s="1"/>
  <c r="G29" i="5"/>
  <c r="G47" i="5"/>
  <c r="G46" i="5" s="1"/>
  <c r="B292" i="6"/>
  <c r="C39" i="5"/>
  <c r="I23" i="32"/>
  <c r="J23" i="32"/>
  <c r="C28" i="5"/>
  <c r="F39" i="5"/>
  <c r="F28" i="5"/>
  <c r="F27" i="5" s="1"/>
  <c r="I283" i="6"/>
  <c r="J283" i="6"/>
  <c r="F30" i="1"/>
  <c r="B223" i="6"/>
  <c r="H298" i="6"/>
  <c r="F32" i="1"/>
  <c r="B158" i="6"/>
  <c r="B325" i="6"/>
  <c r="J169" i="6"/>
  <c r="I169" i="6"/>
  <c r="B220" i="6"/>
  <c r="J14" i="32"/>
  <c r="I14" i="32"/>
  <c r="B316" i="6"/>
  <c r="G174" i="6"/>
  <c r="E30" i="1"/>
  <c r="B256" i="6"/>
  <c r="B225" i="6"/>
  <c r="J39" i="19"/>
  <c r="I39" i="19"/>
  <c r="J164" i="6"/>
  <c r="I164" i="6"/>
  <c r="I171" i="34"/>
  <c r="J171" i="34"/>
  <c r="J53" i="36"/>
  <c r="H52" i="36"/>
  <c r="J52" i="36" s="1"/>
  <c r="B187" i="6"/>
  <c r="I25" i="6"/>
  <c r="J25" i="6"/>
  <c r="G7" i="13"/>
  <c r="B297" i="6"/>
  <c r="G34" i="1"/>
  <c r="J77" i="6"/>
  <c r="I77" i="6"/>
  <c r="I16" i="27"/>
  <c r="J16" i="27"/>
  <c r="E143" i="6"/>
  <c r="B253" i="6"/>
  <c r="B364" i="6"/>
  <c r="B277" i="6"/>
  <c r="B305" i="6"/>
  <c r="B147" i="6"/>
  <c r="B308" i="6"/>
  <c r="F365" i="6"/>
  <c r="B271" i="6"/>
  <c r="F33" i="1"/>
  <c r="J37" i="11"/>
  <c r="I37" i="11"/>
  <c r="H71" i="6"/>
  <c r="H7" i="5" s="1"/>
  <c r="B403" i="6"/>
  <c r="E49" i="10"/>
  <c r="G143" i="6"/>
  <c r="B380" i="6"/>
  <c r="E26" i="1"/>
  <c r="B182" i="6"/>
  <c r="B79" i="11"/>
  <c r="J391" i="6"/>
  <c r="I391" i="6"/>
  <c r="B263" i="6"/>
  <c r="B374" i="6"/>
  <c r="I12" i="13"/>
  <c r="J12" i="13"/>
  <c r="B373" i="6"/>
  <c r="B346" i="6"/>
  <c r="R7" i="13"/>
  <c r="AJ8" i="13"/>
  <c r="BU7" i="13"/>
  <c r="BT7" i="13"/>
  <c r="E33" i="1"/>
  <c r="B343" i="6"/>
  <c r="C71" i="6"/>
  <c r="J72" i="6"/>
  <c r="I72" i="6"/>
  <c r="D9" i="6"/>
  <c r="I422" i="6"/>
  <c r="J422" i="6"/>
  <c r="J25" i="9"/>
  <c r="C26" i="5"/>
  <c r="C45" i="5"/>
  <c r="I25" i="9"/>
  <c r="B349" i="6"/>
  <c r="H49" i="10"/>
  <c r="B178" i="6"/>
  <c r="G40" i="6"/>
  <c r="G6" i="5" s="1"/>
  <c r="B385" i="6"/>
  <c r="I30" i="6"/>
  <c r="J30" i="6"/>
  <c r="J397" i="6"/>
  <c r="C396" i="6"/>
  <c r="I397" i="6"/>
  <c r="J58" i="10"/>
  <c r="I58" i="10"/>
  <c r="H45" i="5"/>
  <c r="H26" i="5"/>
  <c r="B184" i="6"/>
  <c r="H136" i="6"/>
  <c r="J38" i="19"/>
  <c r="I38" i="19"/>
  <c r="C33" i="1"/>
  <c r="I86" i="10"/>
  <c r="J86" i="10"/>
  <c r="B202" i="6"/>
  <c r="B201" i="6"/>
  <c r="B245" i="6"/>
  <c r="H87" i="36"/>
  <c r="J87" i="36" s="1"/>
  <c r="J88" i="36"/>
  <c r="J314" i="6"/>
  <c r="I314" i="6"/>
  <c r="B165" i="6"/>
  <c r="I172" i="34"/>
  <c r="J172" i="34"/>
  <c r="E47" i="5"/>
  <c r="E29" i="5"/>
  <c r="J319" i="6"/>
  <c r="I319" i="6"/>
  <c r="J360" i="6"/>
  <c r="I360" i="6"/>
  <c r="B217" i="6"/>
  <c r="B240" i="6"/>
  <c r="J68" i="36"/>
  <c r="H67" i="36"/>
  <c r="J67" i="36" s="1"/>
  <c r="J11" i="13"/>
  <c r="B26" i="13" s="1"/>
  <c r="I11" i="13"/>
  <c r="F143" i="6"/>
  <c r="D298" i="6"/>
  <c r="D30" i="1"/>
  <c r="C38" i="10"/>
  <c r="I75" i="11"/>
  <c r="D25" i="11" s="1"/>
  <c r="J75" i="11"/>
  <c r="H26" i="1"/>
  <c r="J43" i="10"/>
  <c r="C30" i="1"/>
  <c r="I43" i="10"/>
  <c r="I427" i="6"/>
  <c r="J427" i="6"/>
  <c r="B279" i="6"/>
  <c r="J237" i="6"/>
  <c r="I237" i="6"/>
  <c r="C236" i="6"/>
  <c r="G46" i="19"/>
  <c r="G45" i="19" s="1"/>
  <c r="D50" i="11"/>
  <c r="B367" i="6"/>
  <c r="B378" i="6"/>
  <c r="B317" i="6"/>
  <c r="F29" i="1"/>
  <c r="F28" i="19"/>
  <c r="F24" i="19" s="1"/>
  <c r="B160" i="6"/>
  <c r="B232" i="6"/>
  <c r="B208" i="6"/>
  <c r="H205" i="6"/>
  <c r="B310" i="6"/>
  <c r="J39" i="10"/>
  <c r="I39" i="10"/>
  <c r="S7" i="13"/>
  <c r="AK8" i="13"/>
  <c r="H33" i="1"/>
  <c r="B280" i="6"/>
  <c r="J226" i="6"/>
  <c r="I226" i="6"/>
  <c r="H46" i="19"/>
  <c r="H45" i="19" s="1"/>
  <c r="H17" i="5"/>
  <c r="E34" i="62"/>
  <c r="C50" i="11"/>
  <c r="J30" i="11"/>
  <c r="I30" i="11"/>
  <c r="B265" i="6"/>
  <c r="H32" i="1"/>
  <c r="B186" i="6"/>
  <c r="E136" i="6"/>
  <c r="H27" i="1"/>
  <c r="I412" i="6"/>
  <c r="J412" i="6"/>
  <c r="B235" i="6"/>
  <c r="I456" i="6"/>
  <c r="C444" i="6" s="1"/>
  <c r="B444" i="6" s="1"/>
  <c r="J456" i="6"/>
  <c r="I116" i="6"/>
  <c r="J116" i="6"/>
  <c r="B320" i="6"/>
  <c r="B251" i="6"/>
  <c r="B276" i="6"/>
  <c r="J131" i="6"/>
  <c r="I131" i="6"/>
  <c r="S8" i="13"/>
  <c r="B411" i="6"/>
  <c r="I55" i="10"/>
  <c r="J55" i="10"/>
  <c r="J92" i="6"/>
  <c r="I92" i="6"/>
  <c r="B166" i="6"/>
  <c r="I386" i="6"/>
  <c r="J386" i="6"/>
  <c r="B295" i="6"/>
  <c r="I278" i="6"/>
  <c r="J278" i="6"/>
  <c r="H30" i="1"/>
  <c r="B224" i="6"/>
  <c r="B238" i="6"/>
  <c r="I71" i="10"/>
  <c r="J71" i="10"/>
  <c r="G49" i="10"/>
  <c r="B302" i="6"/>
  <c r="J35" i="6"/>
  <c r="I35" i="6"/>
  <c r="H31" i="36"/>
  <c r="G25" i="36"/>
  <c r="G31" i="36" s="1"/>
  <c r="J159" i="6"/>
  <c r="I159" i="6"/>
  <c r="C167" i="34"/>
  <c r="I454" i="6"/>
  <c r="J454" i="6"/>
  <c r="I54" i="19"/>
  <c r="J54" i="19"/>
  <c r="J309" i="6"/>
  <c r="I309" i="6"/>
  <c r="B289" i="6"/>
  <c r="F174" i="6"/>
  <c r="B266" i="6"/>
  <c r="B286" i="6"/>
  <c r="E7" i="13"/>
  <c r="I10" i="19"/>
  <c r="J97" i="6"/>
  <c r="I97" i="6"/>
  <c r="J121" i="6"/>
  <c r="I121" i="6"/>
  <c r="B264" i="6"/>
  <c r="F46" i="19"/>
  <c r="F45" i="19" s="1"/>
  <c r="J247" i="6"/>
  <c r="I247" i="6"/>
  <c r="E27" i="1"/>
  <c r="H48" i="5"/>
  <c r="H25" i="5"/>
  <c r="I73" i="10"/>
  <c r="J73" i="10"/>
  <c r="F49" i="10"/>
  <c r="J355" i="6"/>
  <c r="I355" i="6"/>
  <c r="B313" i="6"/>
  <c r="I211" i="6"/>
  <c r="J211" i="6"/>
  <c r="I106" i="6"/>
  <c r="C136" i="6"/>
  <c r="J106" i="6"/>
  <c r="E40" i="6"/>
  <c r="E6" i="5" s="1"/>
  <c r="B227" i="6"/>
  <c r="J371" i="6"/>
  <c r="I371" i="6"/>
  <c r="J20" i="6"/>
  <c r="I20" i="6"/>
  <c r="G28" i="5"/>
  <c r="G27" i="5" s="1"/>
  <c r="G39" i="5"/>
  <c r="C298" i="6"/>
  <c r="I299" i="6"/>
  <c r="J299" i="6"/>
  <c r="B219" i="6"/>
  <c r="B157" i="6"/>
  <c r="B161" i="6"/>
  <c r="B398" i="6"/>
  <c r="B199" i="6"/>
  <c r="B203" i="6"/>
  <c r="I69" i="10"/>
  <c r="J69" i="10"/>
  <c r="G33" i="1"/>
  <c r="J185" i="6"/>
  <c r="I185" i="6"/>
  <c r="B150" i="6"/>
  <c r="I200" i="6"/>
  <c r="J200" i="6"/>
  <c r="B204" i="6"/>
  <c r="B413" i="6"/>
  <c r="B259" i="6"/>
  <c r="B361" i="6"/>
  <c r="I126" i="6"/>
  <c r="J126" i="6"/>
  <c r="B151" i="6"/>
  <c r="I14" i="13"/>
  <c r="J14" i="13"/>
  <c r="C8" i="13"/>
  <c r="J10" i="6"/>
  <c r="C9" i="6"/>
  <c r="I10" i="6"/>
  <c r="B387" i="6"/>
  <c r="I61" i="6"/>
  <c r="J61" i="6"/>
  <c r="I16" i="13"/>
  <c r="J16" i="13"/>
  <c r="B194" i="6"/>
  <c r="D334" i="6"/>
  <c r="B351" i="6"/>
  <c r="C365" i="6"/>
  <c r="I366" i="6"/>
  <c r="J366" i="6"/>
  <c r="B152" i="6"/>
  <c r="I56" i="6"/>
  <c r="J56" i="6"/>
  <c r="J72" i="10"/>
  <c r="I72" i="10"/>
  <c r="I231" i="6"/>
  <c r="J231" i="6"/>
  <c r="C34" i="1"/>
  <c r="I111" i="10"/>
  <c r="J111" i="10"/>
  <c r="B306" i="6"/>
  <c r="I288" i="6"/>
  <c r="J288" i="6"/>
  <c r="B176" i="6"/>
  <c r="I268" i="6"/>
  <c r="J268" i="6"/>
  <c r="C267" i="6"/>
  <c r="D143" i="6"/>
  <c r="J195" i="6"/>
  <c r="I195" i="6"/>
  <c r="B421" i="6"/>
  <c r="I62" i="10"/>
  <c r="J62" i="10"/>
  <c r="I335" i="6"/>
  <c r="C334" i="6"/>
  <c r="J335" i="6"/>
  <c r="B212" i="6"/>
  <c r="B255" i="6"/>
  <c r="D47" i="5"/>
  <c r="D29" i="5"/>
  <c r="G267" i="6"/>
  <c r="B300" i="6"/>
  <c r="B261" i="6"/>
  <c r="D32" i="1"/>
  <c r="I56" i="10"/>
  <c r="J56" i="10"/>
  <c r="I221" i="6"/>
  <c r="J221" i="6"/>
  <c r="B275" i="6"/>
  <c r="I15" i="6"/>
  <c r="J15" i="6"/>
  <c r="G136" i="6"/>
  <c r="B148" i="6"/>
  <c r="H34" i="1"/>
  <c r="B218" i="6"/>
  <c r="J53" i="10"/>
  <c r="I53" i="10"/>
  <c r="J59" i="10"/>
  <c r="I59" i="10"/>
  <c r="B210" i="6"/>
  <c r="I479" i="6"/>
  <c r="J479" i="6"/>
  <c r="J190" i="6"/>
  <c r="I190" i="6"/>
  <c r="B296" i="6"/>
  <c r="B209" i="6"/>
  <c r="B214" i="6"/>
  <c r="J63" i="36"/>
  <c r="H62" i="36"/>
  <c r="J62" i="36" s="1"/>
  <c r="R8" i="13"/>
  <c r="B359" i="6"/>
  <c r="E32" i="1"/>
  <c r="J37" i="19"/>
  <c r="I37" i="19"/>
  <c r="C27" i="34"/>
  <c r="J28" i="34"/>
  <c r="I28" i="34"/>
  <c r="I51" i="10"/>
  <c r="J51" i="10"/>
  <c r="I40" i="10"/>
  <c r="C29" i="1"/>
  <c r="C28" i="19"/>
  <c r="J40" i="10"/>
  <c r="I142" i="34"/>
  <c r="J142" i="34"/>
  <c r="C141" i="34"/>
  <c r="B287" i="6"/>
  <c r="B390" i="6"/>
  <c r="H50" i="11"/>
  <c r="I350" i="6"/>
  <c r="J350" i="6"/>
  <c r="C25" i="5"/>
  <c r="I19" i="9"/>
  <c r="C48" i="5"/>
  <c r="J19" i="9"/>
  <c r="B19" i="9" s="1"/>
  <c r="B168" i="6"/>
  <c r="J111" i="6"/>
  <c r="I111" i="6"/>
  <c r="G24" i="5"/>
  <c r="B368" i="6"/>
  <c r="B327" i="6"/>
  <c r="G29" i="1"/>
  <c r="G28" i="19"/>
  <c r="G24" i="19" s="1"/>
  <c r="B312" i="6"/>
  <c r="B233" i="6"/>
  <c r="B408" i="6"/>
  <c r="J54" i="10"/>
  <c r="I54" i="10"/>
  <c r="H42" i="36"/>
  <c r="G43" i="36"/>
  <c r="G42" i="36" s="1"/>
  <c r="G72" i="36" s="1"/>
  <c r="I242" i="6"/>
  <c r="J242" i="6"/>
  <c r="D205" i="6"/>
  <c r="I10" i="34"/>
  <c r="J10" i="34"/>
  <c r="C9" i="34"/>
  <c r="I340" i="6"/>
  <c r="J340" i="6"/>
  <c r="G32" i="1"/>
  <c r="H236" i="6"/>
  <c r="I61" i="26"/>
  <c r="J61" i="26"/>
  <c r="C46" i="19"/>
  <c r="J15" i="13"/>
  <c r="B28" i="13" s="1"/>
  <c r="I15" i="13"/>
  <c r="G236" i="6"/>
  <c r="AT7" i="13"/>
  <c r="AS7" i="13"/>
  <c r="I63" i="10"/>
  <c r="J63" i="10"/>
  <c r="I149" i="6"/>
  <c r="J149" i="6"/>
  <c r="J293" i="6"/>
  <c r="I293" i="6"/>
  <c r="J87" i="6"/>
  <c r="I87" i="6"/>
  <c r="I417" i="6"/>
  <c r="J417" i="6"/>
  <c r="I57" i="10"/>
  <c r="J57" i="10"/>
  <c r="E205" i="6"/>
  <c r="B189" i="6"/>
  <c r="I154" i="6"/>
  <c r="J154" i="6"/>
  <c r="F34" i="1"/>
  <c r="J24" i="10"/>
  <c r="I24" i="10"/>
  <c r="C27" i="1"/>
  <c r="I74" i="10"/>
  <c r="J74" i="10"/>
  <c r="H53" i="1"/>
  <c r="H56" i="1"/>
  <c r="B177" i="6"/>
  <c r="D33" i="1"/>
  <c r="B239" i="6"/>
  <c r="B163" i="6"/>
  <c r="C174" i="6"/>
  <c r="I175" i="6"/>
  <c r="J175" i="6"/>
  <c r="B328" i="6"/>
  <c r="AJ7" i="13"/>
  <c r="I206" i="6"/>
  <c r="C205" i="6"/>
  <c r="J206" i="6"/>
  <c r="H57" i="36"/>
  <c r="J57" i="36" s="1"/>
  <c r="J58" i="36"/>
  <c r="I41" i="11"/>
  <c r="J41" i="11"/>
  <c r="I70" i="10"/>
  <c r="J70" i="10"/>
  <c r="B326" i="6"/>
  <c r="C18" i="34"/>
  <c r="I19" i="34"/>
  <c r="J19" i="34"/>
  <c r="B145" i="6"/>
  <c r="B290" i="6"/>
  <c r="B321" i="6"/>
  <c r="E46" i="36"/>
  <c r="E42" i="36" s="1"/>
  <c r="E72" i="36" s="1"/>
  <c r="E71" i="6"/>
  <c r="E7" i="5" s="1"/>
  <c r="D27" i="1"/>
  <c r="J61" i="10"/>
  <c r="I61" i="10"/>
  <c r="B382" i="6"/>
  <c r="E174" i="6"/>
  <c r="D42" i="5"/>
  <c r="D17" i="5"/>
  <c r="D26" i="5"/>
  <c r="D45" i="5"/>
  <c r="B170" i="6"/>
  <c r="E28" i="19"/>
  <c r="E24" i="19" s="1"/>
  <c r="E29" i="1"/>
  <c r="J50" i="10"/>
  <c r="C49" i="10"/>
  <c r="I50" i="10"/>
  <c r="G396" i="6"/>
  <c r="J273" i="6"/>
  <c r="I273" i="6"/>
  <c r="I376" i="6"/>
  <c r="J376" i="6"/>
  <c r="B376" i="6" s="1"/>
  <c r="B294" i="6"/>
  <c r="B191" i="6"/>
  <c r="F25" i="5"/>
  <c r="F24" i="5" s="1"/>
  <c r="F48" i="5"/>
  <c r="B156" i="6"/>
  <c r="B213" i="6"/>
  <c r="F267" i="6"/>
  <c r="B250" i="6"/>
  <c r="B197" i="6"/>
  <c r="I13" i="13"/>
  <c r="J13" i="13"/>
  <c r="B27" i="13" s="1"/>
  <c r="B363" i="6"/>
  <c r="D49" i="10"/>
  <c r="B318" i="6"/>
  <c r="D25" i="5"/>
  <c r="D48" i="5"/>
  <c r="I252" i="6"/>
  <c r="J252" i="6"/>
  <c r="I82" i="6"/>
  <c r="J82" i="6"/>
  <c r="B246" i="6"/>
  <c r="B155" i="6"/>
  <c r="B337" i="6"/>
  <c r="B153" i="6"/>
  <c r="H29" i="5"/>
  <c r="H47" i="5"/>
  <c r="H46" i="5" s="1"/>
  <c r="D174" i="6"/>
  <c r="G71" i="6"/>
  <c r="G7" i="5" s="1"/>
  <c r="B215" i="6"/>
  <c r="B241" i="6"/>
  <c r="I467" i="6"/>
  <c r="J467" i="6"/>
  <c r="B401" i="6"/>
  <c r="H28" i="5"/>
  <c r="H27" i="5" s="1"/>
  <c r="H39" i="5"/>
  <c r="I68" i="10"/>
  <c r="J68" i="10"/>
  <c r="B181" i="6"/>
  <c r="G205" i="6"/>
  <c r="C35" i="19"/>
  <c r="D365" i="6"/>
  <c r="B22" i="32"/>
  <c r="G9" i="6"/>
  <c r="H40" i="6"/>
  <c r="H6" i="5" s="1"/>
  <c r="B198" i="6"/>
  <c r="B392" i="6"/>
  <c r="J66" i="6"/>
  <c r="I66" i="6"/>
  <c r="J407" i="6"/>
  <c r="B407" i="6" s="1"/>
  <c r="I407" i="6"/>
  <c r="C157" i="34" l="1"/>
  <c r="C163" i="34"/>
  <c r="J73" i="11"/>
  <c r="B73" i="11" s="1"/>
  <c r="G63" i="11"/>
  <c r="G36" i="10" s="1"/>
  <c r="I73" i="11"/>
  <c r="I58" i="11"/>
  <c r="D8" i="11" s="1"/>
  <c r="G17" i="5"/>
  <c r="I65" i="11"/>
  <c r="E56" i="11"/>
  <c r="G41" i="5"/>
  <c r="D14" i="5"/>
  <c r="G67" i="11"/>
  <c r="G37" i="10" s="1"/>
  <c r="G14" i="5"/>
  <c r="E197" i="34"/>
  <c r="J62" i="11"/>
  <c r="B62" i="11" s="1"/>
  <c r="D56" i="1"/>
  <c r="G56" i="11"/>
  <c r="I60" i="11"/>
  <c r="B340" i="6"/>
  <c r="G44" i="5"/>
  <c r="H43" i="5"/>
  <c r="H24" i="5"/>
  <c r="B443" i="6"/>
  <c r="B157" i="34" s="1"/>
  <c r="G197" i="34"/>
  <c r="H44" i="5"/>
  <c r="D20" i="5"/>
  <c r="D44" i="5"/>
  <c r="D197" i="34"/>
  <c r="B350" i="6"/>
  <c r="C158" i="34"/>
  <c r="C63" i="11"/>
  <c r="E63" i="11"/>
  <c r="E36" i="10" s="1"/>
  <c r="D184" i="34"/>
  <c r="G184" i="34"/>
  <c r="B206" i="6"/>
  <c r="F17" i="5"/>
  <c r="E67" i="11"/>
  <c r="E37" i="10" s="1"/>
  <c r="D41" i="5"/>
  <c r="E14" i="5"/>
  <c r="C56" i="11"/>
  <c r="C35" i="10" s="1"/>
  <c r="J71" i="11"/>
  <c r="B71" i="11" s="1"/>
  <c r="I59" i="11"/>
  <c r="E41" i="5"/>
  <c r="J64" i="11"/>
  <c r="B64" i="11" s="1"/>
  <c r="B273" i="6"/>
  <c r="B175" i="6"/>
  <c r="C67" i="11"/>
  <c r="C37" i="10" s="1"/>
  <c r="B299" i="6"/>
  <c r="J59" i="11"/>
  <c r="B59" i="11" s="1"/>
  <c r="I71" i="11"/>
  <c r="D21" i="11" s="1"/>
  <c r="B149" i="6"/>
  <c r="E43" i="5"/>
  <c r="J72" i="11"/>
  <c r="B72" i="11" s="1"/>
  <c r="I69" i="11"/>
  <c r="D19" i="11" s="1"/>
  <c r="J68" i="11"/>
  <c r="B68" i="11" s="1"/>
  <c r="J58" i="11"/>
  <c r="B58" i="11" s="1"/>
  <c r="B252" i="6"/>
  <c r="B417" i="6"/>
  <c r="B242" i="6"/>
  <c r="F184" i="34"/>
  <c r="I70" i="11"/>
  <c r="D56" i="11"/>
  <c r="D35" i="10" s="1"/>
  <c r="J46" i="36"/>
  <c r="D40" i="34"/>
  <c r="D48" i="34" s="1"/>
  <c r="B335" i="6"/>
  <c r="J66" i="11"/>
  <c r="B66" i="11" s="1"/>
  <c r="F102" i="6"/>
  <c r="J74" i="11"/>
  <c r="B74" i="11" s="1"/>
  <c r="B195" i="6"/>
  <c r="B366" i="6"/>
  <c r="H56" i="11"/>
  <c r="H35" i="10" s="1"/>
  <c r="E184" i="34"/>
  <c r="E46" i="5"/>
  <c r="E24" i="1" s="1"/>
  <c r="E29" i="62"/>
  <c r="I57" i="11"/>
  <c r="C24" i="5"/>
  <c r="I25" i="5"/>
  <c r="J25" i="5"/>
  <c r="I64" i="11"/>
  <c r="C29" i="5"/>
  <c r="C47" i="5"/>
  <c r="J141" i="34"/>
  <c r="I141" i="34"/>
  <c r="D329" i="6"/>
  <c r="I365" i="6"/>
  <c r="J365" i="6"/>
  <c r="H85" i="36"/>
  <c r="J85" i="36" s="1"/>
  <c r="B200" i="6"/>
  <c r="B185" i="6"/>
  <c r="H102" i="6"/>
  <c r="B278" i="6"/>
  <c r="I50" i="11"/>
  <c r="J50" i="11"/>
  <c r="B314" i="6"/>
  <c r="I66" i="11"/>
  <c r="J396" i="6"/>
  <c r="I396" i="6"/>
  <c r="H86" i="36"/>
  <c r="J86" i="36" s="1"/>
  <c r="I26" i="5"/>
  <c r="J26" i="5"/>
  <c r="B304" i="6"/>
  <c r="J70" i="11"/>
  <c r="B70" i="11" s="1"/>
  <c r="B216" i="6"/>
  <c r="D29" i="62"/>
  <c r="B144" i="6"/>
  <c r="B257" i="6"/>
  <c r="G5" i="5"/>
  <c r="G102" i="6"/>
  <c r="C20" i="5"/>
  <c r="J195" i="34"/>
  <c r="C43" i="5"/>
  <c r="I195" i="34"/>
  <c r="E23" i="5"/>
  <c r="E44" i="5"/>
  <c r="G32" i="62"/>
  <c r="D32" i="62"/>
  <c r="G40" i="34"/>
  <c r="G48" i="34" s="1"/>
  <c r="B288" i="6"/>
  <c r="B371" i="6"/>
  <c r="B355" i="6"/>
  <c r="G31" i="1"/>
  <c r="H32" i="62"/>
  <c r="B226" i="6"/>
  <c r="J60" i="11"/>
  <c r="B60" i="11" s="1"/>
  <c r="D30" i="62"/>
  <c r="B397" i="6"/>
  <c r="E329" i="6"/>
  <c r="G53" i="1"/>
  <c r="G56" i="1"/>
  <c r="B169" i="6"/>
  <c r="G24" i="1"/>
  <c r="G29" i="62"/>
  <c r="H184" i="34"/>
  <c r="I8" i="13"/>
  <c r="J8" i="13"/>
  <c r="G33" i="62"/>
  <c r="E40" i="34"/>
  <c r="E48" i="34" s="1"/>
  <c r="B247" i="6"/>
  <c r="E35" i="10"/>
  <c r="J25" i="36"/>
  <c r="B412" i="6"/>
  <c r="H26" i="62"/>
  <c r="B319" i="6"/>
  <c r="G435" i="6"/>
  <c r="B422" i="6"/>
  <c r="J44" i="34"/>
  <c r="I44" i="34"/>
  <c r="B391" i="6"/>
  <c r="B164" i="6"/>
  <c r="F30" i="62"/>
  <c r="F26" i="62"/>
  <c r="B381" i="6"/>
  <c r="J49" i="10"/>
  <c r="C31" i="1"/>
  <c r="I49" i="10"/>
  <c r="J205" i="6"/>
  <c r="H81" i="36"/>
  <c r="D81" i="36" s="1"/>
  <c r="J81" i="36" s="1"/>
  <c r="I205" i="6"/>
  <c r="J174" i="6"/>
  <c r="H80" i="36"/>
  <c r="I174" i="6"/>
  <c r="D33" i="62"/>
  <c r="J27" i="1"/>
  <c r="C27" i="62"/>
  <c r="H102" i="36"/>
  <c r="J102" i="36" s="1"/>
  <c r="I27" i="1"/>
  <c r="C45" i="19"/>
  <c r="I46" i="19"/>
  <c r="J46" i="19"/>
  <c r="I9" i="34"/>
  <c r="C36" i="34"/>
  <c r="J9" i="34"/>
  <c r="B190" i="6"/>
  <c r="H83" i="36"/>
  <c r="J83" i="36" s="1"/>
  <c r="I267" i="6"/>
  <c r="J267" i="6"/>
  <c r="F44" i="5"/>
  <c r="F23" i="5"/>
  <c r="F56" i="11"/>
  <c r="B386" i="6"/>
  <c r="H33" i="62"/>
  <c r="F29" i="62"/>
  <c r="I236" i="6"/>
  <c r="H82" i="36"/>
  <c r="J82" i="36" s="1"/>
  <c r="J236" i="6"/>
  <c r="H31" i="1"/>
  <c r="E26" i="62"/>
  <c r="E31" i="1"/>
  <c r="I74" i="11"/>
  <c r="J39" i="5"/>
  <c r="I39" i="5"/>
  <c r="J7" i="13"/>
  <c r="I7" i="13"/>
  <c r="C53" i="1"/>
  <c r="C56" i="1"/>
  <c r="B262" i="6"/>
  <c r="G27" i="62"/>
  <c r="I18" i="34"/>
  <c r="J18" i="34"/>
  <c r="I41" i="34"/>
  <c r="C40" i="34"/>
  <c r="J41" i="34"/>
  <c r="J28" i="19"/>
  <c r="I28" i="19"/>
  <c r="C24" i="19"/>
  <c r="B268" i="6"/>
  <c r="B231" i="6"/>
  <c r="I62" i="11"/>
  <c r="H197" i="34"/>
  <c r="H41" i="5"/>
  <c r="H40" i="5" s="1"/>
  <c r="H14" i="5"/>
  <c r="H40" i="34"/>
  <c r="H48" i="34" s="1"/>
  <c r="J167" i="34"/>
  <c r="I167" i="34"/>
  <c r="J31" i="36"/>
  <c r="F40" i="34"/>
  <c r="F48" i="34" s="1"/>
  <c r="C30" i="62"/>
  <c r="J30" i="1"/>
  <c r="H105" i="36"/>
  <c r="I30" i="1"/>
  <c r="D5" i="5"/>
  <c r="D102" i="6"/>
  <c r="G34" i="62"/>
  <c r="F46" i="5"/>
  <c r="B345" i="6"/>
  <c r="G20" i="5"/>
  <c r="G43" i="5"/>
  <c r="D26" i="62"/>
  <c r="J69" i="11"/>
  <c r="B69" i="11" s="1"/>
  <c r="J47" i="34"/>
  <c r="I47" i="34"/>
  <c r="E435" i="6"/>
  <c r="J35" i="19"/>
  <c r="I35" i="19"/>
  <c r="D31" i="1"/>
  <c r="D27" i="62"/>
  <c r="I61" i="11"/>
  <c r="J61" i="11"/>
  <c r="B61" i="11" s="1"/>
  <c r="D24" i="5"/>
  <c r="F20" i="5"/>
  <c r="F43" i="5"/>
  <c r="E102" i="6"/>
  <c r="J65" i="11"/>
  <c r="B65" i="11" s="1"/>
  <c r="B293" i="6"/>
  <c r="J43" i="36"/>
  <c r="J29" i="1"/>
  <c r="H104" i="36"/>
  <c r="J104" i="36" s="1"/>
  <c r="I29" i="1"/>
  <c r="C29" i="62"/>
  <c r="E32" i="62"/>
  <c r="H34" i="62"/>
  <c r="B221" i="6"/>
  <c r="I298" i="6"/>
  <c r="J298" i="6"/>
  <c r="E27" i="62"/>
  <c r="E42" i="5"/>
  <c r="E17" i="5"/>
  <c r="B237" i="6"/>
  <c r="F329" i="6"/>
  <c r="E33" i="62"/>
  <c r="G30" i="62"/>
  <c r="B324" i="6"/>
  <c r="F435" i="6"/>
  <c r="F27" i="62"/>
  <c r="H435" i="6"/>
  <c r="E50" i="1"/>
  <c r="E48" i="1"/>
  <c r="E8" i="5"/>
  <c r="G35" i="10"/>
  <c r="J182" i="34"/>
  <c r="I182" i="34"/>
  <c r="J48" i="5"/>
  <c r="I48" i="5"/>
  <c r="J27" i="34"/>
  <c r="I27" i="34"/>
  <c r="D63" i="11"/>
  <c r="D36" i="10" s="1"/>
  <c r="D46" i="5"/>
  <c r="I34" i="1"/>
  <c r="J34" i="1"/>
  <c r="C34" i="62"/>
  <c r="D435" i="6"/>
  <c r="E56" i="1"/>
  <c r="E53" i="1"/>
  <c r="B309" i="6"/>
  <c r="H30" i="62"/>
  <c r="F67" i="11"/>
  <c r="F37" i="10" s="1"/>
  <c r="I43" i="34"/>
  <c r="J43" i="34"/>
  <c r="C33" i="62"/>
  <c r="I33" i="1"/>
  <c r="H108" i="36"/>
  <c r="J108" i="36" s="1"/>
  <c r="J33" i="1"/>
  <c r="F41" i="5"/>
  <c r="F14" i="5"/>
  <c r="F197" i="34"/>
  <c r="F32" i="62"/>
  <c r="I72" i="11"/>
  <c r="J28" i="5"/>
  <c r="I28" i="5"/>
  <c r="C27" i="5"/>
  <c r="C6" i="5"/>
  <c r="H36" i="36"/>
  <c r="J36" i="36" s="1"/>
  <c r="I40" i="6"/>
  <c r="J40" i="6"/>
  <c r="H29" i="62"/>
  <c r="B402" i="6"/>
  <c r="F63" i="11"/>
  <c r="F36" i="10" s="1"/>
  <c r="I46" i="34"/>
  <c r="J46" i="34"/>
  <c r="H101" i="36"/>
  <c r="J26" i="1"/>
  <c r="C26" i="62"/>
  <c r="I26" i="1"/>
  <c r="H329" i="6"/>
  <c r="H24" i="1"/>
  <c r="J57" i="11"/>
  <c r="B57" i="11" s="1"/>
  <c r="F34" i="62"/>
  <c r="B154" i="6"/>
  <c r="J42" i="36"/>
  <c r="H72" i="36"/>
  <c r="J72" i="36" s="1"/>
  <c r="J334" i="6"/>
  <c r="C435" i="6"/>
  <c r="I334" i="6"/>
  <c r="H84" i="36"/>
  <c r="J84" i="36" s="1"/>
  <c r="H63" i="11"/>
  <c r="H36" i="10" s="1"/>
  <c r="H35" i="36"/>
  <c r="C5" i="5"/>
  <c r="I9" i="6"/>
  <c r="J9" i="6"/>
  <c r="C102" i="6"/>
  <c r="I194" i="34"/>
  <c r="J194" i="34"/>
  <c r="C42" i="5"/>
  <c r="C17" i="5"/>
  <c r="J136" i="6"/>
  <c r="I136" i="6"/>
  <c r="B211" i="6"/>
  <c r="F31" i="1"/>
  <c r="H50" i="1"/>
  <c r="H8" i="5"/>
  <c r="H48" i="1"/>
  <c r="H67" i="11"/>
  <c r="H37" i="10" s="1"/>
  <c r="B159" i="6"/>
  <c r="H27" i="62"/>
  <c r="J38" i="10"/>
  <c r="I38" i="10"/>
  <c r="B360" i="6"/>
  <c r="I68" i="11"/>
  <c r="J45" i="5"/>
  <c r="I45" i="5"/>
  <c r="I71" i="6"/>
  <c r="C7" i="5"/>
  <c r="H37" i="36"/>
  <c r="J71" i="6"/>
  <c r="G329" i="6"/>
  <c r="F33" i="62"/>
  <c r="E30" i="62"/>
  <c r="B283" i="6"/>
  <c r="I42" i="34"/>
  <c r="J42" i="34"/>
  <c r="B23" i="32"/>
  <c r="B180" i="6"/>
  <c r="I75" i="10"/>
  <c r="C32" i="1"/>
  <c r="J75" i="10"/>
  <c r="D67" i="11"/>
  <c r="D37" i="10" s="1"/>
  <c r="G26" i="62"/>
  <c r="J45" i="34"/>
  <c r="I45" i="34"/>
  <c r="C329" i="6"/>
  <c r="J143" i="6"/>
  <c r="H79" i="36"/>
  <c r="I143" i="6"/>
  <c r="F8" i="5"/>
  <c r="F48" i="1"/>
  <c r="F50" i="1"/>
  <c r="D10" i="11" l="1"/>
  <c r="B159" i="34"/>
  <c r="G80" i="11"/>
  <c r="G40" i="5"/>
  <c r="D9" i="11"/>
  <c r="E80" i="11"/>
  <c r="D15" i="11"/>
  <c r="D20" i="11"/>
  <c r="D40" i="5"/>
  <c r="C80" i="11"/>
  <c r="B158" i="34"/>
  <c r="E40" i="5"/>
  <c r="B163" i="34"/>
  <c r="C36" i="10"/>
  <c r="I36" i="10" s="1"/>
  <c r="F40" i="5"/>
  <c r="F23" i="1" s="1"/>
  <c r="I56" i="1"/>
  <c r="G23" i="1"/>
  <c r="I435" i="6"/>
  <c r="J435" i="6"/>
  <c r="J101" i="36"/>
  <c r="I33" i="62"/>
  <c r="J33" i="62"/>
  <c r="E24" i="62"/>
  <c r="F24" i="1"/>
  <c r="I191" i="34"/>
  <c r="J191" i="34"/>
  <c r="D12" i="11"/>
  <c r="J56" i="1"/>
  <c r="I36" i="34"/>
  <c r="J36" i="34"/>
  <c r="I67" i="11"/>
  <c r="I24" i="5"/>
  <c r="J24" i="5"/>
  <c r="D80" i="11"/>
  <c r="I102" i="6"/>
  <c r="J102" i="6"/>
  <c r="G37" i="36"/>
  <c r="G38" i="36" s="1"/>
  <c r="J178" i="34"/>
  <c r="I178" i="34"/>
  <c r="J24" i="19"/>
  <c r="I24" i="19"/>
  <c r="J53" i="1"/>
  <c r="G24" i="62"/>
  <c r="J37" i="10"/>
  <c r="I37" i="10"/>
  <c r="G31" i="62"/>
  <c r="J43" i="5"/>
  <c r="I43" i="5"/>
  <c r="I329" i="6"/>
  <c r="J329" i="6"/>
  <c r="J32" i="1"/>
  <c r="C32" i="62"/>
  <c r="I32" i="1"/>
  <c r="H107" i="36"/>
  <c r="I7" i="5"/>
  <c r="J7" i="5"/>
  <c r="I180" i="34"/>
  <c r="J180" i="34"/>
  <c r="J181" i="34"/>
  <c r="I181" i="34"/>
  <c r="I31" i="1"/>
  <c r="J31" i="1"/>
  <c r="H106" i="36"/>
  <c r="J106" i="36" s="1"/>
  <c r="C31" i="62"/>
  <c r="D16" i="11"/>
  <c r="D34" i="10"/>
  <c r="H47" i="1"/>
  <c r="H49" i="1"/>
  <c r="F31" i="62"/>
  <c r="C48" i="1"/>
  <c r="C50" i="1"/>
  <c r="C8" i="5"/>
  <c r="J5" i="5"/>
  <c r="I5" i="5"/>
  <c r="H24" i="62"/>
  <c r="J26" i="62"/>
  <c r="I26" i="62"/>
  <c r="J29" i="62"/>
  <c r="I29" i="62"/>
  <c r="C197" i="34"/>
  <c r="J190" i="34"/>
  <c r="I190" i="34"/>
  <c r="C14" i="5"/>
  <c r="C41" i="5"/>
  <c r="C48" i="34"/>
  <c r="J40" i="34"/>
  <c r="I40" i="34"/>
  <c r="B23" i="13"/>
  <c r="B24" i="13"/>
  <c r="B25" i="13"/>
  <c r="J63" i="11"/>
  <c r="B63" i="11" s="1"/>
  <c r="J20" i="5"/>
  <c r="I20" i="5"/>
  <c r="C46" i="5"/>
  <c r="J47" i="5"/>
  <c r="I47" i="5"/>
  <c r="H80" i="11"/>
  <c r="I17" i="5"/>
  <c r="J17" i="5"/>
  <c r="J35" i="36"/>
  <c r="H38" i="36"/>
  <c r="D11" i="11"/>
  <c r="D31" i="62"/>
  <c r="I30" i="62"/>
  <c r="J30" i="62"/>
  <c r="I192" i="34"/>
  <c r="J192" i="34"/>
  <c r="H31" i="62"/>
  <c r="F35" i="10"/>
  <c r="J35" i="10" s="1"/>
  <c r="F80" i="11"/>
  <c r="J45" i="19"/>
  <c r="I45" i="19"/>
  <c r="E34" i="10"/>
  <c r="I63" i="11"/>
  <c r="J29" i="5"/>
  <c r="I29" i="5"/>
  <c r="I56" i="11"/>
  <c r="H34" i="10"/>
  <c r="F49" i="1"/>
  <c r="F47" i="1"/>
  <c r="I42" i="5"/>
  <c r="J42" i="5"/>
  <c r="I34" i="62"/>
  <c r="J34" i="62"/>
  <c r="D24" i="1"/>
  <c r="D48" i="1"/>
  <c r="D8" i="5"/>
  <c r="D50" i="1"/>
  <c r="I193" i="34"/>
  <c r="J193" i="34"/>
  <c r="H23" i="1"/>
  <c r="D23" i="1"/>
  <c r="E31" i="62"/>
  <c r="J27" i="62"/>
  <c r="I27" i="62"/>
  <c r="D80" i="36"/>
  <c r="D78" i="36" s="1"/>
  <c r="G50" i="1"/>
  <c r="G8" i="5"/>
  <c r="G48" i="1"/>
  <c r="H78" i="36"/>
  <c r="J79" i="36"/>
  <c r="B433" i="6"/>
  <c r="B432" i="6"/>
  <c r="B434" i="6"/>
  <c r="B431" i="6"/>
  <c r="B430" i="6"/>
  <c r="B429" i="6"/>
  <c r="B428" i="6"/>
  <c r="J6" i="5"/>
  <c r="I6" i="5"/>
  <c r="G34" i="10"/>
  <c r="C44" i="5"/>
  <c r="I196" i="34"/>
  <c r="C23" i="5"/>
  <c r="J196" i="34"/>
  <c r="I179" i="34"/>
  <c r="J179" i="34"/>
  <c r="J27" i="5"/>
  <c r="I27" i="5"/>
  <c r="E49" i="1"/>
  <c r="E47" i="1"/>
  <c r="G105" i="36"/>
  <c r="G111" i="36" s="1"/>
  <c r="J177" i="34"/>
  <c r="C184" i="34"/>
  <c r="I177" i="34"/>
  <c r="I183" i="34"/>
  <c r="J183" i="34"/>
  <c r="H115" i="34"/>
  <c r="J67" i="11"/>
  <c r="B67" i="11" s="1"/>
  <c r="B435" i="6"/>
  <c r="I53" i="1"/>
  <c r="J56" i="11"/>
  <c r="B56" i="11" s="1"/>
  <c r="E23" i="1" l="1"/>
  <c r="F56" i="34"/>
  <c r="F55" i="34" s="1"/>
  <c r="J38" i="36"/>
  <c r="G124" i="34"/>
  <c r="J36" i="10"/>
  <c r="C34" i="10"/>
  <c r="E65" i="34"/>
  <c r="E64" i="34" s="1"/>
  <c r="E124" i="34"/>
  <c r="E123" i="34" s="1"/>
  <c r="J96" i="34"/>
  <c r="B96" i="34" s="1"/>
  <c r="J85" i="34"/>
  <c r="B85" i="34" s="1"/>
  <c r="D65" i="34"/>
  <c r="D64" i="34" s="1"/>
  <c r="I85" i="34"/>
  <c r="J137" i="34"/>
  <c r="B137" i="34" s="1"/>
  <c r="D101" i="34"/>
  <c r="D100" i="34" s="1"/>
  <c r="J121" i="34"/>
  <c r="B121" i="34" s="1"/>
  <c r="I121" i="34"/>
  <c r="E19" i="5"/>
  <c r="E18" i="5" s="1"/>
  <c r="E133" i="34"/>
  <c r="E132" i="34" s="1"/>
  <c r="I80" i="11"/>
  <c r="E37" i="5"/>
  <c r="J80" i="11"/>
  <c r="B80" i="11" s="1"/>
  <c r="G92" i="34"/>
  <c r="G91" i="34" s="1"/>
  <c r="F101" i="34"/>
  <c r="F100" i="34" s="1"/>
  <c r="J69" i="34"/>
  <c r="B69" i="34" s="1"/>
  <c r="G56" i="34"/>
  <c r="G55" i="34" s="1"/>
  <c r="J80" i="36"/>
  <c r="D115" i="34"/>
  <c r="D114" i="34" s="1"/>
  <c r="F133" i="34"/>
  <c r="F132" i="34" s="1"/>
  <c r="F37" i="5"/>
  <c r="F19" i="5"/>
  <c r="F18" i="5" s="1"/>
  <c r="D83" i="34"/>
  <c r="D82" i="34" s="1"/>
  <c r="H124" i="34"/>
  <c r="H123" i="34" s="1"/>
  <c r="J117" i="34"/>
  <c r="B117" i="34" s="1"/>
  <c r="I117" i="34"/>
  <c r="D92" i="34"/>
  <c r="D91" i="34" s="1"/>
  <c r="I197" i="34"/>
  <c r="J197" i="34"/>
  <c r="G133" i="34"/>
  <c r="G132" i="34" s="1"/>
  <c r="J89" i="34"/>
  <c r="B89" i="34" s="1"/>
  <c r="I89" i="34"/>
  <c r="G38" i="5"/>
  <c r="G22" i="5"/>
  <c r="G21" i="5" s="1"/>
  <c r="D74" i="34"/>
  <c r="D73" i="34" s="1"/>
  <c r="C101" i="34"/>
  <c r="J102" i="34"/>
  <c r="B102" i="34" s="1"/>
  <c r="I102" i="34"/>
  <c r="F124" i="34"/>
  <c r="F123" i="34" s="1"/>
  <c r="J37" i="36"/>
  <c r="F24" i="62"/>
  <c r="I84" i="34"/>
  <c r="C83" i="34"/>
  <c r="J84" i="34"/>
  <c r="B84" i="34" s="1"/>
  <c r="I98" i="34"/>
  <c r="J98" i="34"/>
  <c r="B98" i="34" s="1"/>
  <c r="H83" i="34"/>
  <c r="H82" i="34" s="1"/>
  <c r="F34" i="10"/>
  <c r="C24" i="1"/>
  <c r="J46" i="5"/>
  <c r="H94" i="36"/>
  <c r="H95" i="36" s="1"/>
  <c r="I46" i="5"/>
  <c r="I95" i="34"/>
  <c r="J95" i="34"/>
  <c r="B95" i="34" s="1"/>
  <c r="J48" i="34"/>
  <c r="I48" i="34"/>
  <c r="F74" i="34"/>
  <c r="F73" i="34" s="1"/>
  <c r="I118" i="34"/>
  <c r="J118" i="34"/>
  <c r="B118" i="34" s="1"/>
  <c r="I137" i="34"/>
  <c r="J87" i="34"/>
  <c r="B87" i="34" s="1"/>
  <c r="I87" i="34"/>
  <c r="I127" i="34"/>
  <c r="J127" i="34"/>
  <c r="B127" i="34" s="1"/>
  <c r="D133" i="34"/>
  <c r="D132" i="34" s="1"/>
  <c r="E115" i="34"/>
  <c r="E114" i="34" s="1"/>
  <c r="I96" i="34"/>
  <c r="G65" i="34"/>
  <c r="G64" i="34" s="1"/>
  <c r="F65" i="34"/>
  <c r="F64" i="34" s="1"/>
  <c r="J139" i="34"/>
  <c r="B139" i="34" s="1"/>
  <c r="I139" i="34"/>
  <c r="D23" i="62"/>
  <c r="J59" i="34"/>
  <c r="B59" i="34" s="1"/>
  <c r="I59" i="34"/>
  <c r="D24" i="62"/>
  <c r="E92" i="34"/>
  <c r="E91" i="34" s="1"/>
  <c r="I120" i="34"/>
  <c r="J120" i="34"/>
  <c r="B120" i="34" s="1"/>
  <c r="J105" i="34"/>
  <c r="B105" i="34" s="1"/>
  <c r="I105" i="34"/>
  <c r="E22" i="5"/>
  <c r="E21" i="5" s="1"/>
  <c r="E38" i="5"/>
  <c r="D18" i="11"/>
  <c r="B17" i="11"/>
  <c r="D17" i="11" s="1"/>
  <c r="J104" i="34"/>
  <c r="B104" i="34" s="1"/>
  <c r="I104" i="34"/>
  <c r="I66" i="34"/>
  <c r="J66" i="34"/>
  <c r="B66" i="34" s="1"/>
  <c r="C65" i="34"/>
  <c r="I88" i="34"/>
  <c r="J88" i="34"/>
  <c r="B88" i="34" s="1"/>
  <c r="I138" i="34"/>
  <c r="J138" i="34"/>
  <c r="B138" i="34" s="1"/>
  <c r="J68" i="34"/>
  <c r="B68" i="34" s="1"/>
  <c r="I68" i="34"/>
  <c r="I97" i="34"/>
  <c r="J97" i="34"/>
  <c r="B97" i="34" s="1"/>
  <c r="J130" i="34"/>
  <c r="B130" i="34" s="1"/>
  <c r="I130" i="34"/>
  <c r="H74" i="34"/>
  <c r="H73" i="34" s="1"/>
  <c r="D124" i="34"/>
  <c r="D123" i="34" s="1"/>
  <c r="D7" i="11"/>
  <c r="B6" i="11"/>
  <c r="D6" i="11" s="1"/>
  <c r="B26" i="11"/>
  <c r="D26" i="11" s="1"/>
  <c r="I63" i="34"/>
  <c r="C22" i="5"/>
  <c r="J63" i="34"/>
  <c r="B63" i="34" s="1"/>
  <c r="C38" i="5"/>
  <c r="F115" i="34"/>
  <c r="F114" i="34" s="1"/>
  <c r="I23" i="5"/>
  <c r="J23" i="5"/>
  <c r="I128" i="34"/>
  <c r="J128" i="34"/>
  <c r="B128" i="34" s="1"/>
  <c r="D14" i="11"/>
  <c r="B13" i="11"/>
  <c r="D13" i="11" s="1"/>
  <c r="I67" i="34"/>
  <c r="J67" i="34"/>
  <c r="B67" i="34" s="1"/>
  <c r="H56" i="34"/>
  <c r="J129" i="34"/>
  <c r="B129" i="34" s="1"/>
  <c r="I129" i="34"/>
  <c r="G123" i="34"/>
  <c r="J70" i="34"/>
  <c r="B70" i="34" s="1"/>
  <c r="I70" i="34"/>
  <c r="E28" i="1"/>
  <c r="E114" i="10"/>
  <c r="J60" i="34"/>
  <c r="B60" i="34" s="1"/>
  <c r="I60" i="34"/>
  <c r="G74" i="34"/>
  <c r="G73" i="34" s="1"/>
  <c r="J80" i="34"/>
  <c r="B80" i="34" s="1"/>
  <c r="I80" i="34"/>
  <c r="C49" i="1"/>
  <c r="C47" i="1"/>
  <c r="I8" i="5"/>
  <c r="J8" i="5"/>
  <c r="I69" i="34"/>
  <c r="I122" i="34"/>
  <c r="J122" i="34"/>
  <c r="B122" i="34" s="1"/>
  <c r="G101" i="34"/>
  <c r="G100" i="34" s="1"/>
  <c r="C115" i="34"/>
  <c r="I116" i="34"/>
  <c r="J116" i="34"/>
  <c r="B116" i="34" s="1"/>
  <c r="I107" i="34"/>
  <c r="J107" i="34"/>
  <c r="B107" i="34" s="1"/>
  <c r="I99" i="34"/>
  <c r="J99" i="34"/>
  <c r="B99" i="34" s="1"/>
  <c r="J57" i="34"/>
  <c r="B57" i="34" s="1"/>
  <c r="I57" i="34"/>
  <c r="C56" i="34"/>
  <c r="J75" i="34"/>
  <c r="B75" i="34" s="1"/>
  <c r="I75" i="34"/>
  <c r="C74" i="34"/>
  <c r="G23" i="62"/>
  <c r="I86" i="34"/>
  <c r="J86" i="34"/>
  <c r="B86" i="34" s="1"/>
  <c r="I78" i="34"/>
  <c r="J78" i="34"/>
  <c r="B78" i="34" s="1"/>
  <c r="G47" i="1"/>
  <c r="G49" i="1"/>
  <c r="I79" i="34"/>
  <c r="J79" i="34"/>
  <c r="B79" i="34" s="1"/>
  <c r="J94" i="34"/>
  <c r="B94" i="34" s="1"/>
  <c r="I94" i="34"/>
  <c r="H28" i="1"/>
  <c r="H114" i="10"/>
  <c r="D38" i="5"/>
  <c r="D22" i="5"/>
  <c r="D21" i="5" s="1"/>
  <c r="E83" i="34"/>
  <c r="E82" i="34" s="1"/>
  <c r="D56" i="34"/>
  <c r="C40" i="5"/>
  <c r="J41" i="5"/>
  <c r="I41" i="5"/>
  <c r="J50" i="1"/>
  <c r="I50" i="1"/>
  <c r="D37" i="5"/>
  <c r="D19" i="5"/>
  <c r="D18" i="5" s="1"/>
  <c r="F83" i="34"/>
  <c r="F82" i="34" s="1"/>
  <c r="G115" i="34"/>
  <c r="G114" i="34" s="1"/>
  <c r="H92" i="34"/>
  <c r="H91" i="34" s="1"/>
  <c r="I134" i="34"/>
  <c r="C133" i="34"/>
  <c r="J134" i="34"/>
  <c r="B134" i="34" s="1"/>
  <c r="F23" i="62"/>
  <c r="J131" i="34"/>
  <c r="B131" i="34" s="1"/>
  <c r="I131" i="34"/>
  <c r="H114" i="34"/>
  <c r="H37" i="5"/>
  <c r="H19" i="5"/>
  <c r="H18" i="5" s="1"/>
  <c r="I44" i="5"/>
  <c r="J44" i="5"/>
  <c r="H23" i="62"/>
  <c r="H101" i="34"/>
  <c r="H100" i="34" s="1"/>
  <c r="J93" i="34"/>
  <c r="B93" i="34" s="1"/>
  <c r="C92" i="34"/>
  <c r="I93" i="34"/>
  <c r="C36" i="5"/>
  <c r="J61" i="34"/>
  <c r="B61" i="34" s="1"/>
  <c r="I61" i="34"/>
  <c r="C16" i="5"/>
  <c r="J136" i="34"/>
  <c r="B136" i="34" s="1"/>
  <c r="I136" i="34"/>
  <c r="I14" i="5"/>
  <c r="J14" i="5"/>
  <c r="J48" i="1"/>
  <c r="I48" i="1"/>
  <c r="I31" i="62"/>
  <c r="J31" i="62"/>
  <c r="E107" i="36"/>
  <c r="E111" i="36" s="1"/>
  <c r="B329" i="6"/>
  <c r="H133" i="34"/>
  <c r="H132" i="34" s="1"/>
  <c r="I119" i="34"/>
  <c r="J119" i="34"/>
  <c r="B119" i="34" s="1"/>
  <c r="I71" i="34"/>
  <c r="J71" i="34"/>
  <c r="B71" i="34" s="1"/>
  <c r="J125" i="34"/>
  <c r="B125" i="34" s="1"/>
  <c r="C124" i="34"/>
  <c r="I125" i="34"/>
  <c r="D16" i="5"/>
  <c r="D15" i="5" s="1"/>
  <c r="D36" i="5"/>
  <c r="H36" i="5"/>
  <c r="H16" i="5"/>
  <c r="H15" i="5" s="1"/>
  <c r="J108" i="34"/>
  <c r="B108" i="34" s="1"/>
  <c r="I108" i="34"/>
  <c r="I184" i="34"/>
  <c r="J184" i="34"/>
  <c r="J76" i="34"/>
  <c r="B76" i="34" s="1"/>
  <c r="I76" i="34"/>
  <c r="F92" i="34"/>
  <c r="F91" i="34" s="1"/>
  <c r="J126" i="34"/>
  <c r="B126" i="34" s="1"/>
  <c r="I126" i="34"/>
  <c r="E101" i="34"/>
  <c r="E100" i="34" s="1"/>
  <c r="E74" i="34"/>
  <c r="E73" i="34" s="1"/>
  <c r="I90" i="34"/>
  <c r="J90" i="34"/>
  <c r="B90" i="34" s="1"/>
  <c r="J62" i="34"/>
  <c r="B62" i="34" s="1"/>
  <c r="C37" i="5"/>
  <c r="I62" i="34"/>
  <c r="C19" i="5"/>
  <c r="I103" i="34"/>
  <c r="J103" i="34"/>
  <c r="B103" i="34" s="1"/>
  <c r="G83" i="34"/>
  <c r="G82" i="34" s="1"/>
  <c r="H65" i="34"/>
  <c r="H64" i="34" s="1"/>
  <c r="E23" i="62"/>
  <c r="E36" i="5"/>
  <c r="E16" i="5"/>
  <c r="E15" i="5" s="1"/>
  <c r="I140" i="34"/>
  <c r="J140" i="34"/>
  <c r="B140" i="34" s="1"/>
  <c r="E56" i="34"/>
  <c r="I72" i="34"/>
  <c r="J72" i="34"/>
  <c r="B72" i="34" s="1"/>
  <c r="F16" i="5"/>
  <c r="F15" i="5" s="1"/>
  <c r="F36" i="5"/>
  <c r="G16" i="5"/>
  <c r="G15" i="5" s="1"/>
  <c r="G36" i="5"/>
  <c r="J105" i="36"/>
  <c r="I106" i="34"/>
  <c r="J106" i="34"/>
  <c r="B106" i="34" s="1"/>
  <c r="G28" i="1"/>
  <c r="G114" i="10"/>
  <c r="J78" i="36"/>
  <c r="D49" i="1"/>
  <c r="D47" i="1"/>
  <c r="G37" i="5"/>
  <c r="G19" i="5"/>
  <c r="G18" i="5" s="1"/>
  <c r="J58" i="34"/>
  <c r="B58" i="34" s="1"/>
  <c r="I58" i="34"/>
  <c r="H22" i="5"/>
  <c r="H21" i="5" s="1"/>
  <c r="H38" i="5"/>
  <c r="D28" i="1"/>
  <c r="D114" i="10"/>
  <c r="J32" i="62"/>
  <c r="I32" i="62"/>
  <c r="I35" i="10"/>
  <c r="F38" i="5"/>
  <c r="F22" i="5"/>
  <c r="F21" i="5" s="1"/>
  <c r="I81" i="34"/>
  <c r="J81" i="34"/>
  <c r="B81" i="34" s="1"/>
  <c r="I77" i="34"/>
  <c r="J77" i="34"/>
  <c r="B77" i="34" s="1"/>
  <c r="J135" i="34"/>
  <c r="B135" i="34" s="1"/>
  <c r="I135" i="34"/>
  <c r="C114" i="10" l="1"/>
  <c r="C28" i="1"/>
  <c r="C28" i="62" s="1"/>
  <c r="J34" i="10"/>
  <c r="I34" i="10"/>
  <c r="J107" i="36"/>
  <c r="I19" i="5"/>
  <c r="J19" i="5"/>
  <c r="C18" i="5"/>
  <c r="I16" i="5"/>
  <c r="J16" i="5"/>
  <c r="C15" i="5"/>
  <c r="G19" i="19"/>
  <c r="G149" i="34"/>
  <c r="D13" i="5"/>
  <c r="D12" i="5" s="1"/>
  <c r="D30" i="5" s="1"/>
  <c r="D35" i="5"/>
  <c r="D34" i="5" s="1"/>
  <c r="D55" i="34"/>
  <c r="F28" i="1"/>
  <c r="F114" i="10"/>
  <c r="I114" i="10" s="1"/>
  <c r="G28" i="62"/>
  <c r="G25" i="1"/>
  <c r="G61" i="1" s="1"/>
  <c r="E55" i="34"/>
  <c r="E13" i="5"/>
  <c r="E12" i="5" s="1"/>
  <c r="E30" i="5" s="1"/>
  <c r="E35" i="5"/>
  <c r="E34" i="5" s="1"/>
  <c r="F13" i="5"/>
  <c r="F12" i="5" s="1"/>
  <c r="F30" i="5" s="1"/>
  <c r="C73" i="34"/>
  <c r="I74" i="34"/>
  <c r="J74" i="34"/>
  <c r="B74" i="34" s="1"/>
  <c r="J38" i="5"/>
  <c r="I38" i="5"/>
  <c r="B144" i="34"/>
  <c r="B148" i="34"/>
  <c r="B147" i="34"/>
  <c r="B146" i="34"/>
  <c r="B145" i="34"/>
  <c r="B143" i="34"/>
  <c r="B142" i="34"/>
  <c r="G13" i="5"/>
  <c r="G12" i="5" s="1"/>
  <c r="G30" i="5" s="1"/>
  <c r="D28" i="62"/>
  <c r="D25" i="1"/>
  <c r="I37" i="5"/>
  <c r="J37" i="5"/>
  <c r="H149" i="34"/>
  <c r="H19" i="19"/>
  <c r="H28" i="62"/>
  <c r="H25" i="1"/>
  <c r="F35" i="5"/>
  <c r="F34" i="5" s="1"/>
  <c r="J115" i="34"/>
  <c r="B115" i="34" s="1"/>
  <c r="C114" i="34"/>
  <c r="I115" i="34"/>
  <c r="H35" i="5"/>
  <c r="H34" i="5" s="1"/>
  <c r="H55" i="34"/>
  <c r="H13" i="5"/>
  <c r="H12" i="5" s="1"/>
  <c r="H30" i="5" s="1"/>
  <c r="G109" i="34"/>
  <c r="I36" i="5"/>
  <c r="J36" i="5"/>
  <c r="C132" i="34"/>
  <c r="J133" i="34"/>
  <c r="B133" i="34" s="1"/>
  <c r="I133" i="34"/>
  <c r="F109" i="34"/>
  <c r="I47" i="1"/>
  <c r="J47" i="1"/>
  <c r="F149" i="34"/>
  <c r="F19" i="19"/>
  <c r="F13" i="19" s="1"/>
  <c r="C21" i="5"/>
  <c r="I22" i="5"/>
  <c r="J22" i="5"/>
  <c r="G35" i="5"/>
  <c r="G34" i="5" s="1"/>
  <c r="C13" i="5"/>
  <c r="I56" i="34"/>
  <c r="J56" i="34"/>
  <c r="B56" i="34" s="1"/>
  <c r="C35" i="5"/>
  <c r="C55" i="34"/>
  <c r="J49" i="1"/>
  <c r="I49" i="1"/>
  <c r="J124" i="34"/>
  <c r="B124" i="34" s="1"/>
  <c r="I124" i="34"/>
  <c r="C123" i="34"/>
  <c r="I92" i="34"/>
  <c r="J92" i="34"/>
  <c r="B92" i="34" s="1"/>
  <c r="C91" i="34"/>
  <c r="D149" i="34"/>
  <c r="D19" i="19"/>
  <c r="D13" i="19" s="1"/>
  <c r="H103" i="36"/>
  <c r="D94" i="36"/>
  <c r="D95" i="36" s="1"/>
  <c r="J95" i="36" s="1"/>
  <c r="I83" i="34"/>
  <c r="C82" i="34"/>
  <c r="J83" i="34"/>
  <c r="B83" i="34" s="1"/>
  <c r="C100" i="34"/>
  <c r="I101" i="34"/>
  <c r="J101" i="34"/>
  <c r="B101" i="34" s="1"/>
  <c r="J65" i="34"/>
  <c r="B65" i="34" s="1"/>
  <c r="I65" i="34"/>
  <c r="C64" i="34"/>
  <c r="E149" i="34"/>
  <c r="E19" i="19"/>
  <c r="I40" i="5"/>
  <c r="C23" i="1"/>
  <c r="J40" i="5"/>
  <c r="E28" i="62"/>
  <c r="E25" i="1"/>
  <c r="E61" i="1" s="1"/>
  <c r="I24" i="1"/>
  <c r="J24" i="1"/>
  <c r="C24" i="62"/>
  <c r="C25" i="1" l="1"/>
  <c r="J25" i="1" s="1"/>
  <c r="J61" i="1" s="1"/>
  <c r="I28" i="1"/>
  <c r="H13" i="19"/>
  <c r="J114" i="10"/>
  <c r="J28" i="1"/>
  <c r="I82" i="34"/>
  <c r="J82" i="34"/>
  <c r="C12" i="5"/>
  <c r="J13" i="5"/>
  <c r="I13" i="5"/>
  <c r="J21" i="5"/>
  <c r="I21" i="5"/>
  <c r="F49" i="5"/>
  <c r="F51" i="5" s="1"/>
  <c r="F22" i="1"/>
  <c r="F28" i="62"/>
  <c r="J28" i="62" s="1"/>
  <c r="F25" i="1"/>
  <c r="I24" i="62"/>
  <c r="J24" i="62"/>
  <c r="I64" i="34"/>
  <c r="J64" i="34"/>
  <c r="J91" i="34"/>
  <c r="I91" i="34"/>
  <c r="E25" i="62"/>
  <c r="J94" i="36"/>
  <c r="C25" i="62"/>
  <c r="D25" i="62"/>
  <c r="G25" i="62"/>
  <c r="E13" i="19"/>
  <c r="J103" i="36"/>
  <c r="H111" i="36"/>
  <c r="J111" i="36" s="1"/>
  <c r="F7" i="19"/>
  <c r="I73" i="34"/>
  <c r="J73" i="34"/>
  <c r="E22" i="1"/>
  <c r="E49" i="5"/>
  <c r="E51" i="5" s="1"/>
  <c r="I132" i="34"/>
  <c r="J132" i="34"/>
  <c r="G7" i="19"/>
  <c r="I18" i="5"/>
  <c r="J18" i="5"/>
  <c r="I55" i="34"/>
  <c r="C109" i="34"/>
  <c r="J55" i="34"/>
  <c r="G49" i="5"/>
  <c r="G51" i="5" s="1"/>
  <c r="G22" i="1"/>
  <c r="I114" i="34"/>
  <c r="J114" i="34"/>
  <c r="C19" i="19"/>
  <c r="C149" i="34"/>
  <c r="H61" i="1"/>
  <c r="E7" i="19"/>
  <c r="E109" i="34"/>
  <c r="D7" i="19"/>
  <c r="D109" i="34"/>
  <c r="J15" i="5"/>
  <c r="I15" i="5"/>
  <c r="I100" i="34"/>
  <c r="J100" i="34"/>
  <c r="I35" i="5"/>
  <c r="J35" i="5"/>
  <c r="C34" i="5"/>
  <c r="D49" i="5"/>
  <c r="D51" i="5" s="1"/>
  <c r="D22" i="1"/>
  <c r="D61" i="1"/>
  <c r="C23" i="62"/>
  <c r="J23" i="1"/>
  <c r="I23" i="1"/>
  <c r="I25" i="1"/>
  <c r="C61" i="1"/>
  <c r="H7" i="19"/>
  <c r="H109" i="34"/>
  <c r="H25" i="62"/>
  <c r="F61" i="1"/>
  <c r="J123" i="34"/>
  <c r="B149" i="34" s="1"/>
  <c r="I123" i="34"/>
  <c r="G13" i="19"/>
  <c r="H22" i="1"/>
  <c r="H49" i="5"/>
  <c r="I28" i="62" l="1"/>
  <c r="I9" i="19"/>
  <c r="J9" i="19"/>
  <c r="C22" i="1"/>
  <c r="I34" i="5"/>
  <c r="C49" i="5"/>
  <c r="J34" i="5"/>
  <c r="G22" i="62"/>
  <c r="G21" i="1"/>
  <c r="J23" i="62"/>
  <c r="I23" i="62"/>
  <c r="D21" i="1"/>
  <c r="D22" i="62"/>
  <c r="J149" i="34"/>
  <c r="I149" i="34"/>
  <c r="I19" i="19"/>
  <c r="J19" i="19"/>
  <c r="I21" i="19"/>
  <c r="J21" i="19"/>
  <c r="I8" i="19"/>
  <c r="C7" i="19"/>
  <c r="J8" i="19"/>
  <c r="E21" i="1"/>
  <c r="E22" i="62"/>
  <c r="H51" i="5"/>
  <c r="H21" i="1"/>
  <c r="H60" i="1" s="1"/>
  <c r="H22" i="62"/>
  <c r="J109" i="34"/>
  <c r="I109" i="34"/>
  <c r="F25" i="62"/>
  <c r="J25" i="62" s="1"/>
  <c r="I61" i="1"/>
  <c r="B61" i="1" s="1" a="1"/>
  <c r="B61" i="1" s="1"/>
  <c r="C30" i="5"/>
  <c r="J12" i="5"/>
  <c r="I12" i="5"/>
  <c r="I18" i="19"/>
  <c r="J18" i="19"/>
  <c r="C13" i="19"/>
  <c r="F22" i="62"/>
  <c r="F21" i="1"/>
  <c r="E21" i="62" l="1"/>
  <c r="D21" i="62"/>
  <c r="D60" i="1"/>
  <c r="D38" i="1"/>
  <c r="F21" i="62"/>
  <c r="I49" i="5"/>
  <c r="J49" i="5"/>
  <c r="C51" i="5"/>
  <c r="I30" i="5"/>
  <c r="J30" i="5"/>
  <c r="B109" i="34"/>
  <c r="H21" i="62"/>
  <c r="I25" i="62"/>
  <c r="E60" i="1"/>
  <c r="E38" i="1"/>
  <c r="G21" i="62"/>
  <c r="C22" i="62"/>
  <c r="I22" i="1"/>
  <c r="C21" i="1"/>
  <c r="J22" i="1"/>
  <c r="J13" i="19"/>
  <c r="I13" i="19"/>
  <c r="F60" i="1"/>
  <c r="F38" i="1"/>
  <c r="I7" i="19"/>
  <c r="J7" i="19"/>
  <c r="H38" i="1"/>
  <c r="G60" i="1"/>
  <c r="G38" i="1"/>
  <c r="E54" i="1" l="1"/>
  <c r="E46" i="1"/>
  <c r="E52" i="1"/>
  <c r="E51" i="1"/>
  <c r="E44" i="1"/>
  <c r="E55" i="1"/>
  <c r="E5" i="19"/>
  <c r="E6" i="19" s="1"/>
  <c r="E34" i="19" s="1"/>
  <c r="E42" i="19" s="1"/>
  <c r="E51" i="19" s="1"/>
  <c r="E55" i="19" s="1"/>
  <c r="E40" i="1"/>
  <c r="F38" i="62"/>
  <c r="D38" i="62"/>
  <c r="F52" i="1"/>
  <c r="F5" i="19"/>
  <c r="F6" i="19" s="1"/>
  <c r="F34" i="19" s="1"/>
  <c r="F42" i="19" s="1"/>
  <c r="F51" i="19" s="1"/>
  <c r="F55" i="19" s="1"/>
  <c r="F54" i="1"/>
  <c r="F46" i="1"/>
  <c r="F55" i="1"/>
  <c r="F44" i="1"/>
  <c r="F51" i="1"/>
  <c r="F40" i="1"/>
  <c r="H55" i="1"/>
  <c r="H52" i="1"/>
  <c r="H5" i="19"/>
  <c r="H6" i="19" s="1"/>
  <c r="H34" i="19" s="1"/>
  <c r="H42" i="19" s="1"/>
  <c r="H51" i="19" s="1"/>
  <c r="H55" i="19" s="1"/>
  <c r="H44" i="1"/>
  <c r="H54" i="1"/>
  <c r="H51" i="1"/>
  <c r="H46" i="1"/>
  <c r="H40" i="1"/>
  <c r="C21" i="62"/>
  <c r="I22" i="62"/>
  <c r="J22" i="62"/>
  <c r="J51" i="5"/>
  <c r="D46" i="1"/>
  <c r="D5" i="19"/>
  <c r="D6" i="19" s="1"/>
  <c r="D34" i="19" s="1"/>
  <c r="D42" i="19" s="1"/>
  <c r="D51" i="19" s="1"/>
  <c r="D55" i="19" s="1"/>
  <c r="D52" i="1"/>
  <c r="D44" i="1"/>
  <c r="D51" i="1"/>
  <c r="D54" i="1"/>
  <c r="D55" i="1"/>
  <c r="D40" i="1"/>
  <c r="I51" i="5"/>
  <c r="E38" i="62"/>
  <c r="G46" i="1"/>
  <c r="G52" i="1"/>
  <c r="G54" i="1"/>
  <c r="G44" i="1"/>
  <c r="G51" i="1"/>
  <c r="G5" i="19"/>
  <c r="G6" i="19" s="1"/>
  <c r="G34" i="19" s="1"/>
  <c r="G42" i="19" s="1"/>
  <c r="G51" i="19" s="1"/>
  <c r="G55" i="19" s="1"/>
  <c r="G55" i="1"/>
  <c r="G40" i="1"/>
  <c r="H38" i="62"/>
  <c r="G38" i="62"/>
  <c r="C60" i="1"/>
  <c r="I21" i="1"/>
  <c r="J21" i="1"/>
  <c r="C38" i="1"/>
  <c r="C46" i="1" l="1"/>
  <c r="I46" i="1" s="1"/>
  <c r="C52" i="1"/>
  <c r="I52" i="1" s="1"/>
  <c r="C54" i="1"/>
  <c r="J54" i="1" s="1"/>
  <c r="C44" i="1"/>
  <c r="J44" i="1" s="1"/>
  <c r="C51" i="1"/>
  <c r="J51" i="1" s="1"/>
  <c r="C5" i="19"/>
  <c r="C55" i="1"/>
  <c r="I55" i="1" s="1"/>
  <c r="I38" i="1"/>
  <c r="J38" i="1"/>
  <c r="C40" i="1"/>
  <c r="I60" i="1"/>
  <c r="J60" i="1"/>
  <c r="J21" i="62"/>
  <c r="I21" i="62"/>
  <c r="C38" i="62"/>
  <c r="I54" i="1" l="1"/>
  <c r="I51" i="1"/>
  <c r="B60" i="1" a="1"/>
  <c r="B60" i="1" s="1"/>
  <c r="J52" i="1"/>
  <c r="J55" i="1"/>
  <c r="J46" i="1"/>
  <c r="J40" i="1"/>
  <c r="B36" i="1"/>
  <c r="I40" i="1"/>
  <c r="B26" i="1"/>
  <c r="I44" i="1"/>
  <c r="B22" i="1"/>
  <c r="C6" i="19"/>
  <c r="J5" i="19"/>
  <c r="I5" i="19"/>
  <c r="I38" i="62"/>
  <c r="J38" i="62"/>
  <c r="C34" i="19" l="1"/>
  <c r="J6" i="19"/>
  <c r="I6" i="19"/>
  <c r="B36" i="62"/>
  <c r="B26" i="62"/>
  <c r="B22" i="62"/>
  <c r="C42" i="19" l="1"/>
  <c r="J34" i="19"/>
  <c r="I34" i="19"/>
  <c r="C51" i="19" l="1"/>
  <c r="J42" i="19"/>
  <c r="I42" i="19"/>
  <c r="C55" i="19" l="1"/>
  <c r="I51" i="19"/>
  <c r="J51" i="19"/>
  <c r="J55" i="19" l="1"/>
  <c r="I55" i="19"/>
  <c r="BU33" i="13"/>
  <c r="AB32" i="13"/>
  <c r="BT36" i="13"/>
  <c r="AB35" i="13"/>
  <c r="BK36" i="13"/>
  <c r="BU35" i="13"/>
  <c r="AB3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TAT, Jia Chieu</author>
  </authors>
  <commentList>
    <comment ref="H82" authorId="0" shapeId="0" xr:uid="{6535845E-A02B-4EE8-8188-86A3BC44DDA2}">
      <text>
        <r>
          <rPr>
            <b/>
            <sz val="9"/>
            <color indexed="81"/>
            <rFont val="Tahoma"/>
            <family val="2"/>
          </rPr>
          <t>Formule modifiée pour intégrer les charges de maintenance sous-traitée</t>
        </r>
      </text>
    </comment>
    <comment ref="H89" authorId="0" shapeId="0" xr:uid="{2469AA90-52DD-4396-ADE5-2344B96299C3}">
      <text>
        <r>
          <rPr>
            <b/>
            <sz val="9"/>
            <color indexed="81"/>
            <rFont val="Tahoma"/>
            <family val="2"/>
          </rPr>
          <t>Les charges de personnel de contrôle sont intégrés dans les charges de personnel fixe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TAT, Jia Chieu</author>
  </authors>
  <commentList>
    <comment ref="C329" authorId="0" shapeId="0" xr:uid="{94A932E0-1949-49BE-A9DE-8E71F8C14474}">
      <text>
        <r>
          <rPr>
            <sz val="9"/>
            <color indexed="81"/>
            <rFont val="Tahoma"/>
            <family val="2"/>
          </rPr>
          <t>Formule modifiée pour intégrer la ligne maintenance MO (ligne 267)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<sst xmlns="http://schemas.openxmlformats.org/spreadsheetml/2006/main" count="2583" uniqueCount="572">
  <si>
    <t>Onglet de référence</t>
  </si>
  <si>
    <t>Dont coûts de roulage</t>
  </si>
  <si>
    <t>Dont autres charges variables</t>
  </si>
  <si>
    <t>Dont marketing-commercial</t>
  </si>
  <si>
    <t>Dont frais de siège/frais de région</t>
  </si>
  <si>
    <t>Dont impôts et taxes</t>
  </si>
  <si>
    <t>Dont autres charges fixes</t>
  </si>
  <si>
    <t>Formule groupe</t>
  </si>
  <si>
    <t>TOTAL</t>
  </si>
  <si>
    <t>Produits des amendes</t>
  </si>
  <si>
    <t>Produits financiers</t>
  </si>
  <si>
    <t>Coûts de roulage</t>
  </si>
  <si>
    <t xml:space="preserve">Charges variables de personnel </t>
  </si>
  <si>
    <t>Fournitures infrastructure bus</t>
  </si>
  <si>
    <t>Visites techniques</t>
  </si>
  <si>
    <t>Accidents et vandalismes</t>
  </si>
  <si>
    <t>…</t>
  </si>
  <si>
    <t>Bus</t>
  </si>
  <si>
    <t>Taux horaire 
non chargé</t>
  </si>
  <si>
    <t>Taux de charge</t>
  </si>
  <si>
    <t>Taux horaire 
chargé</t>
  </si>
  <si>
    <t>Personnel de conduite</t>
  </si>
  <si>
    <t>Dotation et nettoyage vêtements de travail</t>
  </si>
  <si>
    <t>Frais de formation net de remboursements OPCA</t>
  </si>
  <si>
    <t>TOTAL/MOYENNE</t>
  </si>
  <si>
    <t>Marketing-commercial</t>
  </si>
  <si>
    <t>Sponsoring Mécenat</t>
  </si>
  <si>
    <t>Insertions publicitaires</t>
  </si>
  <si>
    <t>Etudes contractuelles</t>
  </si>
  <si>
    <t>Etudes qualité de service</t>
  </si>
  <si>
    <t>Promotion du réseau</t>
  </si>
  <si>
    <t>Conquête nouveaux clients</t>
  </si>
  <si>
    <t>Signalétique</t>
  </si>
  <si>
    <t>Informations voyageurs</t>
  </si>
  <si>
    <t>Informations embarquées</t>
  </si>
  <si>
    <t>Informations temps réel</t>
  </si>
  <si>
    <t>Supports clients</t>
  </si>
  <si>
    <t>Commissions dépositaires</t>
  </si>
  <si>
    <t>Achats de billetterie</t>
  </si>
  <si>
    <t>Cadeaux</t>
  </si>
  <si>
    <t>Pourboires dons courants</t>
  </si>
  <si>
    <t>Frais de siège/frais de région</t>
  </si>
  <si>
    <t>Quote part des frais siège</t>
  </si>
  <si>
    <t>Impôts et taxes</t>
  </si>
  <si>
    <t>Cartes grises bus</t>
  </si>
  <si>
    <t>Autres charges fixes</t>
  </si>
  <si>
    <t>Documentation</t>
  </si>
  <si>
    <t>Honoraires</t>
  </si>
  <si>
    <t>Médiation réseau</t>
  </si>
  <si>
    <t>Divers transports</t>
  </si>
  <si>
    <t>Frais bancaires</t>
  </si>
  <si>
    <t>Locations diverses</t>
  </si>
  <si>
    <t>Redevances de logiciels</t>
  </si>
  <si>
    <t>Fournitures</t>
  </si>
  <si>
    <t>Assistance informatique</t>
  </si>
  <si>
    <t>Assurances RC Multirisques</t>
  </si>
  <si>
    <t>Energie Installations fixes</t>
  </si>
  <si>
    <t>Charges financières</t>
  </si>
  <si>
    <t>Personnel technique</t>
  </si>
  <si>
    <t>Personnel administratif</t>
  </si>
  <si>
    <t>Personnel commercial</t>
  </si>
  <si>
    <t>Formule 6 trajets</t>
  </si>
  <si>
    <t>Cumul</t>
  </si>
  <si>
    <t>Duplicatas des titres de transport</t>
  </si>
  <si>
    <t>Recettes publicitaires</t>
  </si>
  <si>
    <t>Autres recettes annexes</t>
  </si>
  <si>
    <t>Recettes commerciales (Rc)</t>
  </si>
  <si>
    <t>Recettes annexes/accessoires (Ra)</t>
  </si>
  <si>
    <t>Recettes réseau bus</t>
  </si>
  <si>
    <t>Exploitation Vélo</t>
  </si>
  <si>
    <t>Dépenses de carburant</t>
  </si>
  <si>
    <t>Dépenses de lubrifiant</t>
  </si>
  <si>
    <t>Dépenses de pneumatiques</t>
  </si>
  <si>
    <t>Dépenses de nettoyage intérieur</t>
  </si>
  <si>
    <t>1. Unités d'œuvre</t>
  </si>
  <si>
    <t>Dépenses de lavage extérieur</t>
  </si>
  <si>
    <t>Dépenses d'assurance</t>
  </si>
  <si>
    <t>A) Coûts de roulage</t>
  </si>
  <si>
    <t>Nombre d'ETP</t>
  </si>
  <si>
    <t>Nombre d'heures de travail annuel</t>
  </si>
  <si>
    <t>2. Charges de personnel</t>
  </si>
  <si>
    <t>Entretien et réparation infrastructure bus</t>
  </si>
  <si>
    <t>Entretien et réparation matériel de lavage</t>
  </si>
  <si>
    <t xml:space="preserve">B) Charges variables de personnel </t>
  </si>
  <si>
    <t>Coût de roulage</t>
  </si>
  <si>
    <t>Vélo</t>
  </si>
  <si>
    <t>Onglet 4</t>
  </si>
  <si>
    <t>Onglet 5</t>
  </si>
  <si>
    <t>Frais de personnel</t>
  </si>
  <si>
    <t>Cartes grises et Taxe sur les véhicules de société</t>
  </si>
  <si>
    <t>Autres impôts et taxes</t>
  </si>
  <si>
    <t>Locations immobilières et charges locatives</t>
  </si>
  <si>
    <t>Télésurveillance et gardiennage des bâtiments</t>
  </si>
  <si>
    <t>Frais postaux et Télécommunication</t>
  </si>
  <si>
    <t>Cotisations et redevances</t>
  </si>
  <si>
    <t>Voyages et déplacements</t>
  </si>
  <si>
    <t>Charges et produits divers</t>
  </si>
  <si>
    <t>Entretiens et nettoyages et réparations</t>
  </si>
  <si>
    <t>Communication interne</t>
  </si>
  <si>
    <t>Actions commerciales</t>
  </si>
  <si>
    <t xml:space="preserve">Décomposition par service
</t>
  </si>
  <si>
    <t>2. Coûts de personnel</t>
  </si>
  <si>
    <t>Taux de charge personnel fixe</t>
  </si>
  <si>
    <t>1. Coûts de la sous-traitance</t>
  </si>
  <si>
    <t>2. Recettes</t>
  </si>
  <si>
    <t xml:space="preserve">Nombres de kilomètres </t>
  </si>
  <si>
    <t>2. Coûts d'exploitation</t>
  </si>
  <si>
    <t>Nombre de véhicules 
par type de véhicule</t>
  </si>
  <si>
    <t>Répartition des kilomètres sous-traités</t>
  </si>
  <si>
    <t>Risque et aléas</t>
  </si>
  <si>
    <t>Nombre de kilomètres en ligne</t>
  </si>
  <si>
    <t>Nombre de kilomètres haut le pied</t>
  </si>
  <si>
    <t>Nombre de kilomètres techniques</t>
  </si>
  <si>
    <t>2. Compte d'exploitation prévisionnel</t>
  </si>
  <si>
    <t>Compte d'exploitation prévisionnel - option obligatoire TAD - Proxibus</t>
  </si>
  <si>
    <t>Compte d'exploitation prévisionnel - option obligatoire TAD - Allobus</t>
  </si>
  <si>
    <t>RESULTAT FINANCIER</t>
  </si>
  <si>
    <t>RESULTAT D'EXPLOITATION</t>
  </si>
  <si>
    <t>Dotations aux amortissements des biens</t>
  </si>
  <si>
    <t>Charges sociales</t>
  </si>
  <si>
    <t>Salaires</t>
  </si>
  <si>
    <t>CET</t>
  </si>
  <si>
    <t>Charges fiscales assises sur salaires</t>
  </si>
  <si>
    <t>Autres charges services extérieurs</t>
  </si>
  <si>
    <t>Affranchissements/téléphone/réseaux informatique</t>
  </si>
  <si>
    <t>Frais et commissions bancaires</t>
  </si>
  <si>
    <t>Voyages et déplacements/missions et réceptions</t>
  </si>
  <si>
    <t>Publicité-opérations promotionnelles</t>
  </si>
  <si>
    <t>Frais de siège (assistance technique)</t>
  </si>
  <si>
    <t>Personnel mis à disposition</t>
  </si>
  <si>
    <t>Personnel intérimaire</t>
  </si>
  <si>
    <t>Autres services extérieurs</t>
  </si>
  <si>
    <t>Assurance Indemnisation des tiers</t>
  </si>
  <si>
    <t>Assurances flotte automobile</t>
  </si>
  <si>
    <t>Assurances dommages aux biens</t>
  </si>
  <si>
    <t>Entretien réparations matériel de transport</t>
  </si>
  <si>
    <t>Entretien réparations des biens</t>
  </si>
  <si>
    <t>Sous-traitance ligne de bus</t>
  </si>
  <si>
    <t>Locations</t>
  </si>
  <si>
    <t>Autres Achats</t>
  </si>
  <si>
    <t>Pièces de rechanges stockées</t>
  </si>
  <si>
    <t>Carburants et lubrifiants</t>
  </si>
  <si>
    <t>Forfait de charges</t>
  </si>
  <si>
    <t>TOTAL DU CHIFFRE D'AFFAIRES</t>
  </si>
  <si>
    <t>60 Achats</t>
  </si>
  <si>
    <t>Fluides: Électricité / Gaz / Eau / Fuel</t>
  </si>
  <si>
    <t>Pièces détachées non stockées</t>
  </si>
  <si>
    <t>64 Charges de personnel (hors charges fiscales)</t>
  </si>
  <si>
    <t>75 Produits divers de gestion</t>
  </si>
  <si>
    <t>65 Charges diverses de gestion</t>
  </si>
  <si>
    <t>Reprise de provisions</t>
  </si>
  <si>
    <t>68 Dotations aux amortissements et provisions</t>
  </si>
  <si>
    <t>66 Charges financières</t>
  </si>
  <si>
    <t>76 Produits Financiers</t>
  </si>
  <si>
    <t>61 Services extérieurs</t>
  </si>
  <si>
    <t>62 Autres services extérieurs</t>
  </si>
  <si>
    <t>VALEUR AJOUTÉE</t>
  </si>
  <si>
    <t>63 Impôts et taxes</t>
  </si>
  <si>
    <t>Dotations aux provisions pour charges retraite</t>
  </si>
  <si>
    <t>Dotations aux provisions pour risques et charges</t>
  </si>
  <si>
    <t>Dotations aux provisions pour dépréciation</t>
  </si>
  <si>
    <t>RESULTAT COURANT AVANT IMPÔT</t>
  </si>
  <si>
    <t>Nombre de véhicules</t>
  </si>
  <si>
    <t>Charges fixes</t>
  </si>
  <si>
    <t>Personnel fixe</t>
  </si>
  <si>
    <t xml:space="preserve">Personnel technique </t>
  </si>
  <si>
    <t>Dont charges fixes de personnel</t>
  </si>
  <si>
    <t xml:space="preserve">Dont charges variables de personnel </t>
  </si>
  <si>
    <t>Onglet 3</t>
  </si>
  <si>
    <t>Onglet 3a</t>
  </si>
  <si>
    <t>Onglet 3b</t>
  </si>
  <si>
    <t>Onglet 3c</t>
  </si>
  <si>
    <t>Compte d'exploitation prévisionnel
Tranche conditionnelle : Gestion des abris vélos</t>
  </si>
  <si>
    <t>Nombre de kilomètres</t>
  </si>
  <si>
    <t xml:space="preserve">Kilomètres commerciaux </t>
  </si>
  <si>
    <t>Participation et intéressement des salariés</t>
  </si>
  <si>
    <t>Dont amortissements</t>
  </si>
  <si>
    <t>Durée d'amortissement</t>
  </si>
  <si>
    <t>Dotations aux amortissements</t>
  </si>
  <si>
    <t>Date d'achat</t>
  </si>
  <si>
    <t>Gros Entretien et Renouvellement</t>
  </si>
  <si>
    <t>Charges de personnel fixe</t>
  </si>
  <si>
    <t>Dont Gros Entretien Renouvellement</t>
  </si>
  <si>
    <t>Compte d'exploitation prévisionnel
Tranche conditionnelle : Ouverture d'un service du vélo à Béthune</t>
  </si>
  <si>
    <t>Charges de sous-traitance</t>
  </si>
  <si>
    <t>TOTAL DU COÛT DE LA SOUS-TRAITANCE</t>
  </si>
  <si>
    <t>Dépenses d'entretien pièces</t>
  </si>
  <si>
    <t>Dépenses d'entretien MO</t>
  </si>
  <si>
    <t>Cout horaire 
non chargé</t>
  </si>
  <si>
    <t>Taux de charges sur le personnel de conduite</t>
  </si>
  <si>
    <t>Nombre d'ETP de conduite</t>
  </si>
  <si>
    <t>Frais liés au personnel</t>
  </si>
  <si>
    <t>Dépenses de personnel de conduite</t>
  </si>
  <si>
    <t>Infrastructures fixes</t>
  </si>
  <si>
    <t>Valeur d'achat</t>
  </si>
  <si>
    <t>Quote part des frais région</t>
  </si>
  <si>
    <t>Dont marge et aléas</t>
  </si>
  <si>
    <t>Charges variables (Cv)</t>
  </si>
  <si>
    <t>FORFAIT DE CHARGES (FC)</t>
  </si>
  <si>
    <t>Charges fixes (Cf)</t>
  </si>
  <si>
    <t>Charges de sous-traitance (Cst)</t>
  </si>
  <si>
    <t>OBJECTIF DE RECETTES (OR)</t>
  </si>
  <si>
    <t>Taux de marge (marge / forfait de charges)</t>
  </si>
  <si>
    <t xml:space="preserve"> Dépenses d'entretien  (à préciser)</t>
  </si>
  <si>
    <t>Dépenses d'entretien</t>
  </si>
  <si>
    <t>Marge et aléas</t>
  </si>
  <si>
    <t>Marge</t>
  </si>
  <si>
    <t>TOTAL OBJECTIF DE RECETTES</t>
  </si>
  <si>
    <t>TOTAL FORFAIT DE CHARGES</t>
  </si>
  <si>
    <t>Charges variables</t>
  </si>
  <si>
    <t>Programme GER</t>
  </si>
  <si>
    <t>Formule Journée</t>
  </si>
  <si>
    <t>Abonnement mensuel</t>
  </si>
  <si>
    <t>Abonnement annuel</t>
  </si>
  <si>
    <t>Abonnement scolaire</t>
  </si>
  <si>
    <t>Abonnement mensuel senior</t>
  </si>
  <si>
    <t>Abonnement annuel senior</t>
  </si>
  <si>
    <t>Abonnement mensuel demandeur d’emploi</t>
  </si>
  <si>
    <t>Moins de 26 ans</t>
  </si>
  <si>
    <t>Demandeurs d’emploi sans conditions de ressources</t>
  </si>
  <si>
    <t>Tous publics utilisant un abonnement TER</t>
  </si>
  <si>
    <t>Forfait 1/2 journée</t>
  </si>
  <si>
    <t>Forfait 1 journée</t>
  </si>
  <si>
    <t>Forfait 1 semaine</t>
  </si>
  <si>
    <t>Forfait 1 mois</t>
  </si>
  <si>
    <t>Forfait 3 mois</t>
  </si>
  <si>
    <t>Tous publics</t>
  </si>
  <si>
    <t>Tarif réduit (abonnés TADAO et abonnés PASS PASS TER)</t>
  </si>
  <si>
    <t>Forfait siège enfant ½ journée</t>
  </si>
  <si>
    <t>Vélos de ville</t>
  </si>
  <si>
    <t>Recettes titres vélo</t>
  </si>
  <si>
    <t>2. Dépenses de roulage par type de véhicule</t>
  </si>
  <si>
    <t>Frais de dossiers abonnements scolaires (10€)</t>
  </si>
  <si>
    <t>Unités d'œuvre vélo</t>
  </si>
  <si>
    <t>Nombre de vélos en service</t>
  </si>
  <si>
    <t>Désignation de l'ouvrage/équipement</t>
  </si>
  <si>
    <t>Dotation annuelle aux amortissements par ouvrage/équipement</t>
  </si>
  <si>
    <t>Valeur résiduelle fin de contrat</t>
  </si>
  <si>
    <t>BILAN ACTIF</t>
  </si>
  <si>
    <t>Immobilisations incorporelles</t>
  </si>
  <si>
    <t>Immobilisations corporelles</t>
  </si>
  <si>
    <t>Immobilisations financières</t>
  </si>
  <si>
    <t>ACTIF NET IMMOBILISE</t>
  </si>
  <si>
    <t>Stocks</t>
  </si>
  <si>
    <t>Trésorerie</t>
  </si>
  <si>
    <t>ACTIF CIRCULANT</t>
  </si>
  <si>
    <t>TOTAL ACTIF</t>
  </si>
  <si>
    <t>BILAN PASSIF</t>
  </si>
  <si>
    <t xml:space="preserve">Capital social </t>
  </si>
  <si>
    <t>Réserves</t>
  </si>
  <si>
    <t>Report à nouveau</t>
  </si>
  <si>
    <t>Résultat de l'exercice</t>
  </si>
  <si>
    <t>CAPITAUX PROPRES</t>
  </si>
  <si>
    <t>Provisions pour risques et charges</t>
  </si>
  <si>
    <t>PROVISIONS</t>
  </si>
  <si>
    <t>Emprunts bancaires</t>
  </si>
  <si>
    <t>DETTES FINANCIERES</t>
  </si>
  <si>
    <t>Dettes fiscales et sociales</t>
  </si>
  <si>
    <t>PASSIF CIRCULANT</t>
  </si>
  <si>
    <t>TOTAL PASSIF</t>
  </si>
  <si>
    <t>FONDS DE ROULEMENT</t>
  </si>
  <si>
    <t>BESOIN EN FONDS DE ROULEMENT</t>
  </si>
  <si>
    <t>TRÉSORERIE</t>
  </si>
  <si>
    <t>Autres actifs</t>
  </si>
  <si>
    <t>Autre dettes d'exploitation</t>
  </si>
  <si>
    <t>Dettes fournisseurs</t>
  </si>
  <si>
    <t>Créances clients</t>
  </si>
  <si>
    <t>Créances sur le groupe</t>
  </si>
  <si>
    <t>Comptes courants d'associés / dette groupe</t>
  </si>
  <si>
    <t>Emprunts et dettes financières divers</t>
  </si>
  <si>
    <t>Programmation pluriannuelle des investissements du délégataire</t>
  </si>
  <si>
    <t>Moyenne annuelle</t>
  </si>
  <si>
    <t>Minibus</t>
  </si>
  <si>
    <t>Bus standard</t>
  </si>
  <si>
    <t>Midibus</t>
  </si>
  <si>
    <t>Numérique et innovation</t>
  </si>
  <si>
    <t>Direction Clients</t>
  </si>
  <si>
    <t>Pôle commercial</t>
  </si>
  <si>
    <t>Pôle qualité</t>
  </si>
  <si>
    <t>Pôle marketing</t>
  </si>
  <si>
    <t>Pôle Ressources Humaines</t>
  </si>
  <si>
    <t>Direction</t>
  </si>
  <si>
    <t>Pôle Finances</t>
  </si>
  <si>
    <t>Pôle systèmes d'information</t>
  </si>
  <si>
    <t>Pôle Ingéniérie Sécurité Environnement</t>
  </si>
  <si>
    <t>Pôle PCC &amp; circulation</t>
  </si>
  <si>
    <t>Pôle Prévention Ambiance Sûreté Fraude</t>
  </si>
  <si>
    <t>Pôle Exploitation</t>
  </si>
  <si>
    <t>Pôle Maintenance patrimoine</t>
  </si>
  <si>
    <t>Conducteur receveur</t>
  </si>
  <si>
    <t>Dont infrastructures fixes</t>
  </si>
  <si>
    <t>Pièces détachées</t>
  </si>
  <si>
    <t>Agent titulaire</t>
  </si>
  <si>
    <t xml:space="preserve">Agent d'accueil Insertion </t>
  </si>
  <si>
    <t>Nettoyage, atelier</t>
  </si>
  <si>
    <t>Moyenne 2017-2018</t>
  </si>
  <si>
    <t>Moyenne 2019-2023</t>
  </si>
  <si>
    <t>Nombre de kilomètres en propre</t>
  </si>
  <si>
    <t>Kilomètres commerciaux</t>
  </si>
  <si>
    <t>Kilomètres haut le pied</t>
  </si>
  <si>
    <t>Kilomètres techniques</t>
  </si>
  <si>
    <t>Véhicules de service</t>
  </si>
  <si>
    <t>Onglet 3d</t>
  </si>
  <si>
    <t>Autres charges variables</t>
  </si>
  <si>
    <t>Flechage des charges et formules indexation</t>
  </si>
  <si>
    <t>Formules et indices de revision</t>
  </si>
  <si>
    <t>Nombre de kilomètres par an</t>
  </si>
  <si>
    <t>Nombre d'heures de conduite</t>
  </si>
  <si>
    <t>Formule CV Indice G</t>
  </si>
  <si>
    <t>Formule CV Indice S (1+C)</t>
  </si>
  <si>
    <t>Formule CV Indice R</t>
  </si>
  <si>
    <t>Formule Cst Indice S (1+C)</t>
  </si>
  <si>
    <t>Formule Cst Indice R</t>
  </si>
  <si>
    <t>Formule Cst indice M et partie fixe</t>
  </si>
  <si>
    <t>Formule Cst Indice FG</t>
  </si>
  <si>
    <t>Formule Cst Indices G et R</t>
  </si>
  <si>
    <t>Formule Cf Indice ING</t>
  </si>
  <si>
    <t>Formule Cf Partie fixe</t>
  </si>
  <si>
    <t>Formule Cf Indice FG</t>
  </si>
  <si>
    <t>Formule Cf Indice S (1+C)</t>
  </si>
  <si>
    <t>Formule CV Indices G, R et S (1+C)</t>
  </si>
  <si>
    <t>Formule Cst</t>
  </si>
  <si>
    <t>Contribution foncière des entreprises (CFE)</t>
  </si>
  <si>
    <t>Cotisation sur la Valeur Ajoutée des Entreprises (CVAE)</t>
  </si>
  <si>
    <t>Vélos à assistance électrique</t>
  </si>
  <si>
    <r>
      <t>Offre de base - Détails des charges de sous-traitance pour</t>
    </r>
    <r>
      <rPr>
        <b/>
        <u/>
        <sz val="10"/>
        <color theme="7"/>
        <rFont val="Calibri"/>
        <family val="2"/>
      </rPr>
      <t xml:space="preserve"> Autobus Artésiens </t>
    </r>
    <r>
      <rPr>
        <b/>
        <sz val="10"/>
        <color theme="7"/>
        <rFont val="Calibri"/>
        <family val="2"/>
      </rPr>
      <t>en € HT</t>
    </r>
  </si>
  <si>
    <r>
      <t>Offre de base - Détails des charges de sous-traitance pour</t>
    </r>
    <r>
      <rPr>
        <b/>
        <u/>
        <sz val="10"/>
        <color theme="7"/>
        <rFont val="Calibri"/>
        <family val="2"/>
      </rPr>
      <t xml:space="preserve"> Littoral Nord Autocars </t>
    </r>
    <r>
      <rPr>
        <b/>
        <sz val="10"/>
        <color theme="7"/>
        <rFont val="Calibri"/>
        <family val="2"/>
      </rPr>
      <t>en € HT</t>
    </r>
  </si>
  <si>
    <t>Offre de base :
Bilan prévisionnel en €</t>
  </si>
  <si>
    <t>Dépenses de carburant (déduction faite de taxes récupérées)</t>
  </si>
  <si>
    <t>etp</t>
  </si>
  <si>
    <t>Réseau Allobus</t>
  </si>
  <si>
    <t>Pôle Allobus</t>
  </si>
  <si>
    <t>Allobus</t>
  </si>
  <si>
    <t xml:space="preserve">Lavage nettoyage bus </t>
  </si>
  <si>
    <t>Recettes de publicité (Rp)</t>
  </si>
  <si>
    <t xml:space="preserve">Tarifs </t>
  </si>
  <si>
    <t>Onglet 2</t>
  </si>
  <si>
    <t>Recettes commerciales en € HT juin 2022</t>
  </si>
  <si>
    <t>Formules et indices de révision</t>
  </si>
  <si>
    <t>TOTAL RECETTES COMMERCIALES</t>
  </si>
  <si>
    <t>Recettes publicitaires en € HT juin 2022</t>
  </si>
  <si>
    <t>TOTAL RECETTES PUBLICITAIRES</t>
  </si>
  <si>
    <t>TOTAL RECETTES ANNEXES</t>
  </si>
  <si>
    <t>Recettes annexes en € HT juin 2022</t>
  </si>
  <si>
    <t>TOTAL KM PROPRE</t>
  </si>
  <si>
    <t>TOTAL VEHICULES</t>
  </si>
  <si>
    <t>Nombre de kilomètres en propre
par type de véhicule</t>
  </si>
  <si>
    <t>Kilomètres haut-le-pied</t>
  </si>
  <si>
    <t>Coûts liés aux kilomètres</t>
  </si>
  <si>
    <t>Coût / km total</t>
  </si>
  <si>
    <t>Coûts liés aux véhicules</t>
  </si>
  <si>
    <t>Coût / véhicule</t>
  </si>
  <si>
    <t>TOTAL ETP CONDUITE</t>
  </si>
  <si>
    <t>TOTAL DEPENSES PERSONNEL DE CONDUITE</t>
  </si>
  <si>
    <t>Coût / vélo</t>
  </si>
  <si>
    <t>Coûts variables liés aux véhicules de service</t>
  </si>
  <si>
    <t>Lignes régulières</t>
  </si>
  <si>
    <t>Lignes Bulles</t>
  </si>
  <si>
    <t>Lignes principales</t>
  </si>
  <si>
    <t>Lignes complémentaires</t>
  </si>
  <si>
    <t>Proxibus</t>
  </si>
  <si>
    <t>Nombre de véhicules 
par service</t>
  </si>
  <si>
    <t>Nombre de kilomètres en propre
par service</t>
  </si>
  <si>
    <t>Exploitation lignes régulières</t>
  </si>
  <si>
    <t>Exploitation Allobus</t>
  </si>
  <si>
    <t>Exploitation Proxibus</t>
  </si>
  <si>
    <t>Décomposition par poste</t>
  </si>
  <si>
    <t>Autres dépenses</t>
  </si>
  <si>
    <t>Autres dépenses (à préciser)</t>
  </si>
  <si>
    <t>onglet 4c</t>
  </si>
  <si>
    <t>onglet 4b</t>
  </si>
  <si>
    <t>onglet 4a</t>
  </si>
  <si>
    <t>TOTAL ENGAGEMENT FREQUENTATION</t>
  </si>
  <si>
    <t>TOTAL FREQUENTATION</t>
  </si>
  <si>
    <t>Nombre de validations
par service</t>
  </si>
  <si>
    <t>ENGAGEMENT DE FREQUENTATION (EF)</t>
  </si>
  <si>
    <t>Pôle Proxibus</t>
  </si>
  <si>
    <t>Coût / ETP</t>
  </si>
  <si>
    <t>TOTAL DOTATION AMORTISSEMENTS</t>
  </si>
  <si>
    <t>TOTAL GER</t>
  </si>
  <si>
    <t>Programme de Gros Entretien Renouvellement en € HT juin 2022</t>
  </si>
  <si>
    <t>Sous-traitance Allobus</t>
  </si>
  <si>
    <t>Nb de véhicules Lignes régulières</t>
  </si>
  <si>
    <t>Nb de véhicules Circuits scolaires</t>
  </si>
  <si>
    <t>Nb de véhicules Allobus</t>
  </si>
  <si>
    <t>Km commerciaux Allobus</t>
  </si>
  <si>
    <t>Km commerciaux Circuits scolaires</t>
  </si>
  <si>
    <t>Km commerciaux Proxibus</t>
  </si>
  <si>
    <t>Nb de véhicules Proxibus</t>
  </si>
  <si>
    <t>Sous-traitance Proxibus</t>
  </si>
  <si>
    <t>TOTAL SOUS-TRAITANCE</t>
  </si>
  <si>
    <t>Dont charges variables</t>
  </si>
  <si>
    <t>Dont charges variables de personnel</t>
  </si>
  <si>
    <t>Dont charges fixes</t>
  </si>
  <si>
    <t>RATIOS DE PERFORMANCE</t>
  </si>
  <si>
    <t>Recettes / Dépenses (R/D)</t>
  </si>
  <si>
    <t>Recettes / Validations (R/V)</t>
  </si>
  <si>
    <t>VERIFS</t>
  </si>
  <si>
    <t>Dépenses / Validations (D/V)</t>
  </si>
  <si>
    <t xml:space="preserve">Candidat : </t>
  </si>
  <si>
    <t xml:space="preserve">Notice d'utilisation : </t>
  </si>
  <si>
    <t>Cellule verte = à compléter</t>
  </si>
  <si>
    <t>Autre ou aucune couleur = formules, à ne pas compléter</t>
  </si>
  <si>
    <t>Date de valeur € HT :</t>
  </si>
  <si>
    <t>Juin 2022</t>
  </si>
  <si>
    <r>
      <rPr>
        <sz val="10"/>
        <color theme="1"/>
        <rFont val="Calibri"/>
        <family val="2"/>
        <scheme val="minor"/>
      </rPr>
      <t xml:space="preserve">7.CEP en format SIG : </t>
    </r>
    <r>
      <rPr>
        <sz val="10"/>
        <rFont val="Calibri"/>
        <family val="2"/>
        <scheme val="minor"/>
      </rPr>
      <t>le candidat complète les charges et produits permettant de constituer les soldes intermédiaires de gestion (SIG).</t>
    </r>
  </si>
  <si>
    <t>CONTRAT DE DELEGATION DE SERVICE PUBLIC DE TRANSPORT URBAIN DE VOYAGEUR</t>
  </si>
  <si>
    <t>Km commerciaux Lignes régulières</t>
  </si>
  <si>
    <t>Dont aléas</t>
  </si>
  <si>
    <t>Dont marge</t>
  </si>
  <si>
    <t>Coût / km</t>
  </si>
  <si>
    <t>Contrôleur</t>
  </si>
  <si>
    <t>Médiateur</t>
  </si>
  <si>
    <t>Nb heures de contrôle</t>
  </si>
  <si>
    <t>Nb heures de médiation</t>
  </si>
  <si>
    <t>Taux de charges sur le personnel</t>
  </si>
  <si>
    <t>Nombre d'heures</t>
  </si>
  <si>
    <t>Dépenses de personnel</t>
  </si>
  <si>
    <t>TOTAL ETP</t>
  </si>
  <si>
    <t>TOTAL DEPENSES VARIABLES PERSONNEL</t>
  </si>
  <si>
    <t>A) Charges variables</t>
  </si>
  <si>
    <t>2. Evolution des coûts</t>
  </si>
  <si>
    <t>B) Charges fixes</t>
  </si>
  <si>
    <t>Départ</t>
  </si>
  <si>
    <t>Evolutions</t>
  </si>
  <si>
    <t>Année 1</t>
  </si>
  <si>
    <t>Impacts modifications d'offre</t>
  </si>
  <si>
    <t>Impacts indexation</t>
  </si>
  <si>
    <t>Impacts mise en service nouveaux matériels</t>
  </si>
  <si>
    <t>Impacts crise sanitaire</t>
  </si>
  <si>
    <t>Autres impacts (à préciser)</t>
  </si>
  <si>
    <t>VERIF</t>
  </si>
  <si>
    <t>Dépenses / Km totaux en propre (D/K)</t>
  </si>
  <si>
    <t>Gestion abris vélos sécurisés</t>
  </si>
  <si>
    <t>Nb heures de conduite commerciale BHNS</t>
  </si>
  <si>
    <t>Nb heures de conduite commerciale Bus</t>
  </si>
  <si>
    <r>
      <rPr>
        <sz val="10"/>
        <color theme="1"/>
        <rFont val="Calibri"/>
        <family val="2"/>
        <scheme val="minor"/>
      </rPr>
      <t xml:space="preserve">1.Evolution Couts : </t>
    </r>
    <r>
      <rPr>
        <sz val="10"/>
        <rFont val="Calibri"/>
        <family val="2"/>
        <scheme val="minor"/>
      </rPr>
      <t>le candidat présente quels sont les impacts pris en compte pour le passage de la dernière année connue (2021) à la première année de son offre (2024).</t>
    </r>
  </si>
  <si>
    <r>
      <rPr>
        <sz val="10"/>
        <color theme="1"/>
        <rFont val="Calibri"/>
        <family val="2"/>
        <scheme val="minor"/>
      </rPr>
      <t xml:space="preserve">3.Recettes : </t>
    </r>
    <r>
      <rPr>
        <sz val="10"/>
        <rFont val="Calibri"/>
        <family val="2"/>
        <scheme val="minor"/>
      </rPr>
      <t>engagements du candidat en termes de fréquentation et de recettes.</t>
    </r>
  </si>
  <si>
    <r>
      <rPr>
        <sz val="10"/>
        <color theme="1"/>
        <rFont val="Calibri"/>
        <family val="2"/>
        <scheme val="minor"/>
      </rPr>
      <t xml:space="preserve">4a : </t>
    </r>
    <r>
      <rPr>
        <sz val="10"/>
        <rFont val="Calibri"/>
        <family val="2"/>
        <scheme val="minor"/>
      </rPr>
      <t>décomposition des charges variables bus par type de véhicule.</t>
    </r>
  </si>
  <si>
    <r>
      <rPr>
        <sz val="10"/>
        <color theme="1"/>
        <rFont val="Calibri"/>
        <family val="2"/>
        <scheme val="minor"/>
      </rPr>
      <t xml:space="preserve">4b : </t>
    </r>
    <r>
      <rPr>
        <sz val="10"/>
        <rFont val="Calibri"/>
        <family val="2"/>
        <scheme val="minor"/>
      </rPr>
      <t>décomposition des charges variables par service.</t>
    </r>
  </si>
  <si>
    <r>
      <rPr>
        <sz val="10"/>
        <color theme="1"/>
        <rFont val="Calibri"/>
        <family val="2"/>
        <scheme val="minor"/>
      </rPr>
      <t xml:space="preserve">4c : </t>
    </r>
    <r>
      <rPr>
        <sz val="10"/>
        <rFont val="Calibri"/>
        <family val="2"/>
        <scheme val="minor"/>
      </rPr>
      <t>décomposition des charges variables vélo.</t>
    </r>
  </si>
  <si>
    <r>
      <rPr>
        <sz val="10"/>
        <color theme="1"/>
        <rFont val="Calibri"/>
        <family val="2"/>
        <scheme val="minor"/>
      </rPr>
      <t xml:space="preserve">4d : </t>
    </r>
    <r>
      <rPr>
        <sz val="10"/>
        <rFont val="Calibri"/>
        <family val="2"/>
        <scheme val="minor"/>
      </rPr>
      <t>décomposition des charges variables véhicules de service.</t>
    </r>
  </si>
  <si>
    <r>
      <rPr>
        <sz val="10"/>
        <color theme="1"/>
        <rFont val="Calibri"/>
        <family val="2"/>
        <scheme val="minor"/>
      </rPr>
      <t xml:space="preserve">5a : </t>
    </r>
    <r>
      <rPr>
        <sz val="10"/>
        <rFont val="Calibri"/>
        <family val="2"/>
        <scheme val="minor"/>
      </rPr>
      <t>détail des charges de personnel fixe.</t>
    </r>
  </si>
  <si>
    <r>
      <rPr>
        <sz val="10"/>
        <color theme="1"/>
        <rFont val="Calibri"/>
        <family val="2"/>
        <scheme val="minor"/>
      </rPr>
      <t xml:space="preserve">5b : </t>
    </r>
    <r>
      <rPr>
        <sz val="10"/>
        <rFont val="Calibri"/>
        <family val="2"/>
        <scheme val="minor"/>
      </rPr>
      <t>détail du programme pluri-annuel d'investissements (PPI) et des dotations aux amortissements. Le candidat complète le type d'investissements et les informations associées.</t>
    </r>
  </si>
  <si>
    <r>
      <rPr>
        <sz val="10"/>
        <color theme="1"/>
        <rFont val="Calibri"/>
        <family val="2"/>
        <scheme val="minor"/>
      </rPr>
      <t xml:space="preserve">5c : </t>
    </r>
    <r>
      <rPr>
        <sz val="10"/>
        <rFont val="Calibri"/>
        <family val="2"/>
        <scheme val="minor"/>
      </rPr>
      <t>détail du programme de gros entretien et renouvellement (GER) et des dotations aux amortissements. Le candidat complète le type de renouvellements et les informations associées.</t>
    </r>
  </si>
  <si>
    <t>Dépenses d'entretien sous-traité</t>
  </si>
  <si>
    <t>Formule CV Indice S</t>
  </si>
  <si>
    <t>Nb heures de conduite totales BHNS</t>
  </si>
  <si>
    <t>Nb heures de conduite totales Bus</t>
  </si>
  <si>
    <t>Vehicule de société</t>
  </si>
  <si>
    <t>2. Dépenses de roulage en €</t>
  </si>
  <si>
    <t>Formule Cf Indice S</t>
  </si>
  <si>
    <t>Formule Cst Indice S</t>
  </si>
  <si>
    <t>CONSOLIDATION des sous-traitants</t>
  </si>
  <si>
    <t>Sous-traitant 1</t>
  </si>
  <si>
    <t>Sous-traitant 2</t>
  </si>
  <si>
    <t>Sous-traitant 3</t>
  </si>
  <si>
    <t>Sous-traitant 4</t>
  </si>
  <si>
    <r>
      <rPr>
        <sz val="10"/>
        <color theme="1"/>
        <rFont val="Calibri"/>
        <family val="2"/>
        <scheme val="minor"/>
      </rPr>
      <t xml:space="preserve">6.SousTraitance : </t>
    </r>
    <r>
      <rPr>
        <sz val="10"/>
        <rFont val="Calibri"/>
        <family val="2"/>
        <scheme val="minor"/>
      </rPr>
      <t>charges sous-traitées. Le candidat remplit les coûts de chaque sous-traitant et la consolidation.</t>
    </r>
  </si>
  <si>
    <t>EXCEDENT BRUT D'EXPLOITATION</t>
  </si>
  <si>
    <t>Entretien réparations voirie</t>
  </si>
  <si>
    <t>Lignes Duo</t>
  </si>
  <si>
    <t>Navette</t>
  </si>
  <si>
    <t>Chronopro</t>
  </si>
  <si>
    <t>Réseau Proxibus</t>
  </si>
  <si>
    <t>Réseau Chronopro</t>
  </si>
  <si>
    <t>Exploitation Chronopro</t>
  </si>
  <si>
    <t>Pôle Chronopro</t>
  </si>
  <si>
    <t>Km commerciaux Chronopro</t>
  </si>
  <si>
    <t>Nb de véhicules Chronopro</t>
  </si>
  <si>
    <t>Sous-traitance Chronopro</t>
  </si>
  <si>
    <t>Dépenses / Km totaux (D/K)</t>
  </si>
  <si>
    <t>Validations / Km totaux (V/K)</t>
  </si>
  <si>
    <t>Dépenses / Km totaux sous-traités (D/K)</t>
  </si>
  <si>
    <t>Dépenses / Km commerciaux (D/K)</t>
  </si>
  <si>
    <t>Dépenses / Km commerciaux en propre (D/K)</t>
  </si>
  <si>
    <t>Dépenses / Km commerciaux sous-traités (D/K)</t>
  </si>
  <si>
    <t>Validations / Km commerciaux (V/K)</t>
  </si>
  <si>
    <t>Recettes commerciales / Km totaux (R/K)</t>
  </si>
  <si>
    <t>Recettes commerciales / Km commerciaux (R/K)</t>
  </si>
  <si>
    <t>Ticket Unité</t>
  </si>
  <si>
    <t>Ticket Unitaire Accompagnant CMI</t>
  </si>
  <si>
    <t>Accompagnateur d’un voyageur bénéficiaire d’une CMI</t>
  </si>
  <si>
    <t>Tous publics (à partir de 10 personnes)</t>
  </si>
  <si>
    <t>Collégiens et lycéens de moins de 26 ans subventionnés</t>
  </si>
  <si>
    <t>Personnes de plus de 65 ans sans conditions de ressources</t>
  </si>
  <si>
    <t>Abonnement mensuel CMI “Invalidité”</t>
  </si>
  <si>
    <t>Personne détentrice d’une Carte de Mobilité Inclusive « Invalidité »</t>
  </si>
  <si>
    <t>Abonnement annuel CMI “Invalidité”</t>
  </si>
  <si>
    <t>Abonnement hebdo Fideli’ter sur carte Tadao ou SMIRT</t>
  </si>
  <si>
    <t>Abonnement mensuel Fideli’ter sur carte Tadao ou SMIRT</t>
  </si>
  <si>
    <t>Diesel</t>
  </si>
  <si>
    <t>Hybride</t>
  </si>
  <si>
    <t>Hydrogène</t>
  </si>
  <si>
    <t>Electrique</t>
  </si>
  <si>
    <t>Bus articulé</t>
  </si>
  <si>
    <t>Autocar</t>
  </si>
  <si>
    <r>
      <rPr>
        <sz val="10"/>
        <color theme="1"/>
        <rFont val="Calibri"/>
        <family val="2"/>
        <scheme val="minor"/>
      </rPr>
      <t xml:space="preserve">5.Charges fixes : </t>
    </r>
    <r>
      <rPr>
        <sz val="10"/>
        <rFont val="Calibri"/>
        <family val="2"/>
        <scheme val="minor"/>
      </rPr>
      <t>charges fixes du candidat (si un poste ne constitue pas une charge fixe dans l'offre du candidat, ce dernier peut inscrire 0 sur la ligne concernée).</t>
    </r>
  </si>
  <si>
    <r>
      <t>Ce fichier comporte plusieurs onglets. Dans le cadre de son offre,</t>
    </r>
    <r>
      <rPr>
        <b/>
        <sz val="10"/>
        <color theme="1"/>
        <rFont val="Calibri"/>
        <family val="2"/>
        <scheme val="minor"/>
      </rPr>
      <t xml:space="preserve"> le candidat doit renseigner les cellules vertes de tous les onglets verts. Les intitulés et les formules ne sont pas modifiés.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Les charges liées à la mise en œuvre de la gratuité l'année précédant la mise en place de la gratuité sont intégrées à l'année 0 de l'annexe 5.1 et ne doivent donc pas être prises en compte dans cette annexe.</t>
    </r>
  </si>
  <si>
    <t>Transdev Artois Gohelle</t>
  </si>
  <si>
    <t>Sous-traitant 5</t>
  </si>
  <si>
    <t>Sous-traitant 6</t>
  </si>
  <si>
    <t>Sous-traitant 7</t>
  </si>
  <si>
    <t>Forfait 6 mois</t>
  </si>
  <si>
    <t>Forfait 9 mois</t>
  </si>
  <si>
    <t>Vélos cargo</t>
  </si>
  <si>
    <t>Trottinettes</t>
  </si>
  <si>
    <t>Accessoires</t>
  </si>
  <si>
    <t>Remorque</t>
  </si>
  <si>
    <t/>
  </si>
  <si>
    <t>Equipement personnel de conduite</t>
  </si>
  <si>
    <t>Equipement personnel d'atelier</t>
  </si>
  <si>
    <t>Informatique</t>
  </si>
  <si>
    <t>TVA non déductible</t>
  </si>
  <si>
    <t>Services vélos</t>
  </si>
  <si>
    <t>Compte d'exploitation prévisionnel
Option Captain Bike - Ruitz</t>
  </si>
  <si>
    <t>Compte d'exploitation prévisionnel
Option Captain Bike - Delta 3</t>
  </si>
  <si>
    <t>Entretien Abris vélo</t>
  </si>
  <si>
    <t>Offre de base :
Compte d'exploitation prévisionnel en € HT juin 2022</t>
  </si>
  <si>
    <t>Offre de base :
Compte de résultat format SIG en € HT juin 2022</t>
  </si>
  <si>
    <t>Soldes de bases de Gestion</t>
  </si>
  <si>
    <t>Offre de base - Charges de sous-traitance en € HT juin 2022</t>
  </si>
  <si>
    <t>Offre de base
Charges de personnel fixe en € HT juin 2022</t>
  </si>
  <si>
    <t>Offre de base :
Charges fixes en € HT juin 2022</t>
  </si>
  <si>
    <t>Offre de base 
Décomposition des charges variables vehicules de service en € HT juin 2022</t>
  </si>
  <si>
    <t>Offre de base :
Décomposition des charges variables Vélo en € HT juin 2022</t>
  </si>
  <si>
    <t>Offre de base 
Décomposition des charges variables par service en € HT juin 2022</t>
  </si>
  <si>
    <t>Offre de base 
Décomposition des charges variables par véhicule en € HT juin 2022</t>
  </si>
  <si>
    <t>Offre de base : 
Synthèse des charges variables en € HT juin 2022</t>
  </si>
  <si>
    <t>Offre de base : 
Recettes  en € HT juin 2022</t>
  </si>
  <si>
    <t>Véhicule utilitaire</t>
  </si>
  <si>
    <t>Emports à vélos</t>
  </si>
  <si>
    <t>Lignes Scolaires</t>
  </si>
  <si>
    <t>Comptabilité et paie (EAP)</t>
  </si>
  <si>
    <t>Conseil (Finance, Audit, Juridique)</t>
  </si>
  <si>
    <t>Honoraires liés au personnel (recrutement, médecine du travail, prud'hommes)</t>
  </si>
  <si>
    <t>Nettoyage des bâtiments et installations</t>
  </si>
  <si>
    <t>Entretien des espaces verts</t>
  </si>
  <si>
    <t>Entretien des sanitaires</t>
  </si>
  <si>
    <t>Camion nacelle</t>
  </si>
  <si>
    <t>Nacelle (dépôt de Houdain)</t>
  </si>
  <si>
    <t>Jeux de 6 colonnes (dépôt de Hénin)</t>
  </si>
  <si>
    <t>Véhicule utilitaire Vélos</t>
  </si>
  <si>
    <t>Batteries VAE (30) et trottinettes (5)</t>
  </si>
  <si>
    <t>Maintenance lourde véhicules articulés</t>
  </si>
  <si>
    <t>Evolutions entre l'offre finale et l'offre intermédiaire n°2</t>
  </si>
  <si>
    <t>Evolutions entre l'offre intermédiaire n°2 et l'offre intermédiaire n°1</t>
  </si>
  <si>
    <t>Evolutions entre l'offre intermédiaire n°1 et l'offre 1 bis</t>
  </si>
  <si>
    <t>Camion de dépannage 2024 - renouvellmement des camions de dépannage atelier</t>
  </si>
  <si>
    <t>Camion de dépannage 2026  - renouvellmement des camions de dépannage atelier</t>
  </si>
  <si>
    <t>Camion de dépannage 2028  - renouvellmement des camions de dépannage atelier</t>
  </si>
  <si>
    <t>Système d'information voyageur 2024 - Site internet et investissements associés</t>
  </si>
  <si>
    <t>Système d'information voyageur 2025 - Site internet et investissements associés</t>
  </si>
  <si>
    <r>
      <rPr>
        <b/>
        <sz val="10"/>
        <rFont val="Calibri"/>
        <family val="2"/>
        <scheme val="minor"/>
      </rPr>
      <t>Renouvellement des équipements et amélioration 1</t>
    </r>
    <r>
      <rPr>
        <sz val="10"/>
        <rFont val="Calibri"/>
        <family val="2"/>
        <scheme val="minor"/>
      </rPr>
      <t xml:space="preserve">
 (Enveloppe annuelle pour renouvellement des équipements atelier)</t>
    </r>
  </si>
  <si>
    <r>
      <rPr>
        <b/>
        <sz val="10"/>
        <rFont val="Calibri"/>
        <family val="2"/>
        <scheme val="minor"/>
      </rPr>
      <t>Renouvellement des équipements et amélioration 2</t>
    </r>
    <r>
      <rPr>
        <sz val="10"/>
        <rFont val="Calibri"/>
        <family val="2"/>
        <scheme val="minor"/>
      </rPr>
      <t xml:space="preserve">
 (Enveloppe annuelle pour renouvellement des équipements atelier)</t>
    </r>
  </si>
  <si>
    <r>
      <rPr>
        <b/>
        <sz val="10"/>
        <rFont val="Calibri"/>
        <family val="2"/>
        <scheme val="minor"/>
      </rPr>
      <t>Renouvellement des équipements et amélioration 3</t>
    </r>
    <r>
      <rPr>
        <sz val="10"/>
        <rFont val="Calibri"/>
        <family val="2"/>
        <scheme val="minor"/>
      </rPr>
      <t xml:space="preserve">
 (Enveloppe annuelle pour renouvellement des équipements atelier)</t>
    </r>
  </si>
  <si>
    <r>
      <rPr>
        <b/>
        <sz val="10"/>
        <rFont val="Calibri"/>
        <family val="2"/>
        <scheme val="minor"/>
      </rPr>
      <t>Renouvellement des équipements et amélioration 4</t>
    </r>
    <r>
      <rPr>
        <sz val="10"/>
        <rFont val="Calibri"/>
        <family val="2"/>
        <scheme val="minor"/>
      </rPr>
      <t xml:space="preserve">
 (Enveloppe annuelle pour renouvellement des équipements atelier)</t>
    </r>
  </si>
  <si>
    <r>
      <rPr>
        <b/>
        <sz val="10"/>
        <rFont val="Calibri"/>
        <family val="2"/>
        <scheme val="minor"/>
      </rPr>
      <t>Renouvellement des équipements et amélioration 5</t>
    </r>
    <r>
      <rPr>
        <sz val="10"/>
        <rFont val="Calibri"/>
        <family val="2"/>
        <scheme val="minor"/>
      </rPr>
      <t xml:space="preserve">
 (Enveloppe annuelle pour renouvellement des équipements atelier)</t>
    </r>
  </si>
  <si>
    <r>
      <rPr>
        <b/>
        <sz val="10"/>
        <rFont val="Calibri"/>
        <family val="2"/>
        <scheme val="minor"/>
      </rPr>
      <t>Renouvellement des équipements et amélioration 6</t>
    </r>
    <r>
      <rPr>
        <sz val="10"/>
        <rFont val="Calibri"/>
        <family val="2"/>
        <scheme val="minor"/>
      </rPr>
      <t xml:space="preserve">
 (Enveloppe annuelle pour renouvellement des équipements atelier)</t>
    </r>
  </si>
  <si>
    <r>
      <rPr>
        <b/>
        <sz val="10"/>
        <rFont val="Calibri"/>
        <family val="2"/>
        <scheme val="minor"/>
      </rPr>
      <t>Infrastructures 2024</t>
    </r>
    <r>
      <rPr>
        <sz val="10"/>
        <rFont val="Calibri"/>
        <family val="2"/>
        <scheme val="minor"/>
      </rPr>
      <t xml:space="preserve"> (Socle de virtualisation, aménagement salles serveur, 
infrastructure cœur réseau, Wifi à bord, renouvellement wifi en station, 
postes de travail bureautique et industriel, centre d'appel)</t>
    </r>
  </si>
  <si>
    <r>
      <rPr>
        <b/>
        <sz val="10"/>
        <rFont val="Calibri"/>
        <family val="2"/>
        <scheme val="minor"/>
      </rPr>
      <t>Infrastructures 2025</t>
    </r>
    <r>
      <rPr>
        <sz val="10"/>
        <rFont val="Calibri"/>
        <family val="2"/>
        <scheme val="minor"/>
      </rPr>
      <t xml:space="preserve"> (Socle de virtualisation, aménagement salles serveur
, routeurs wifi véhicules et stations,  postes de travail bureautique et industriel,renouvellement borne conducteur connecté)</t>
    </r>
  </si>
  <si>
    <r>
      <rPr>
        <b/>
        <sz val="10"/>
        <rFont val="Calibri"/>
        <family val="2"/>
        <scheme val="minor"/>
      </rPr>
      <t>Infrastructures 2028</t>
    </r>
    <r>
      <rPr>
        <sz val="10"/>
        <rFont val="Calibri"/>
        <family val="2"/>
        <scheme val="minor"/>
      </rPr>
      <t xml:space="preserve"> (Renouvellement postes de travail bureautiqueset industriels)</t>
    </r>
  </si>
  <si>
    <r>
      <rPr>
        <b/>
        <sz val="10"/>
        <rFont val="Calibri"/>
        <family val="2"/>
        <scheme val="minor"/>
      </rPr>
      <t>Infrastructures 2029</t>
    </r>
    <r>
      <rPr>
        <sz val="10"/>
        <rFont val="Calibri"/>
        <family val="2"/>
        <scheme val="minor"/>
      </rPr>
      <t xml:space="preserve">  (Renouvellement postes de travail bureautiqueset industriels)</t>
    </r>
  </si>
  <si>
    <r>
      <rPr>
        <b/>
        <sz val="10"/>
        <rFont val="Calibri"/>
        <family val="2"/>
        <scheme val="minor"/>
      </rPr>
      <t>Infrastructures 2026</t>
    </r>
    <r>
      <rPr>
        <sz val="10"/>
        <rFont val="Calibri"/>
        <family val="2"/>
        <scheme val="minor"/>
      </rPr>
      <t xml:space="preserve"> 
(Socle de virtualisation, renouvellement des switchs d'accès, renouvellement des PDU, postes de travail bureautiques et industriels, centre d'appel, DAC)</t>
    </r>
  </si>
  <si>
    <r>
      <rPr>
        <b/>
        <sz val="10"/>
        <rFont val="Calibri"/>
        <family val="2"/>
        <scheme val="minor"/>
      </rPr>
      <t>Infrastructures 2027</t>
    </r>
    <r>
      <rPr>
        <sz val="10"/>
        <rFont val="Calibri"/>
        <family val="2"/>
        <scheme val="minor"/>
      </rPr>
      <t xml:space="preserve"> (renouvellement infrastructure cœur de réseau, aménagement salles serveurs, postes de travail bureautique &amp; industriels, DAC)</t>
    </r>
  </si>
  <si>
    <t>Année 2</t>
  </si>
  <si>
    <t>Année 3</t>
  </si>
  <si>
    <t>Année 4</t>
  </si>
  <si>
    <t>Année 5</t>
  </si>
  <si>
    <t>Année 6</t>
  </si>
  <si>
    <t>Compte d'exploitation prévisionnel
Option emports</t>
  </si>
  <si>
    <t>Compte d'exploitation prévisionnel
Option Trottinette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</si>
</sst>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€&quot;#,##0_);\(&quot;€&quot;#,##0\)"/>
    <numFmt numFmtId="165" formatCode="&quot;€&quot;#,##0.00_);\(&quot;€&quot;#,##0.00\)"/>
    <numFmt numFmtId="166" formatCode="_(&quot;€&quot;* #,##0.00_);_(&quot;€&quot;* \(#,##0.00\);_(&quot;€&quot;* &quot;-&quot;??_);_(@_)"/>
    <numFmt numFmtId="167" formatCode="_-* #,##0.00\ _€_-;\-* #,##0.00\ _€_-;_-* &quot;-&quot;??\ _€_-;_-@_-"/>
    <numFmt numFmtId="168" formatCode="0.0000"/>
    <numFmt numFmtId="169" formatCode="0.000"/>
    <numFmt numFmtId="170" formatCode="0.0%"/>
    <numFmt numFmtId="171" formatCode="#,##0.00\ &quot;€&quot;"/>
    <numFmt numFmtId="172" formatCode="0&quot; mois&quot;"/>
    <numFmt numFmtId="173" formatCode="_-* #,##0\ _€_-;\-* #,##0\ _€_-;_-* &quot;-&quot;??\ _€_-;_-@_-"/>
    <numFmt numFmtId="174" formatCode="#,##0_ ;\-#,##0\ "/>
    <numFmt numFmtId="175" formatCode="#,##0.0"/>
    <numFmt numFmtId="176" formatCode="_-* #,##0.000\ _€_-;\-* #,##0.000\ _€_-;_-* &quot;-&quot;??\ _€_-;_-@_-"/>
    <numFmt numFmtId="177" formatCode="#,##0.000"/>
    <numFmt numFmtId="178" formatCode="_-* #,##0\ [$€-40C]_-;\-* #,##0\ [$€-40C]_-;_-* &quot;-&quot;??\ [$€-40C]_-;_-@_-"/>
    <numFmt numFmtId="179" formatCode="0.000%"/>
    <numFmt numFmtId="180" formatCode="0.0000%"/>
  </numFmts>
  <fonts count="5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0"/>
      <color indexed="9"/>
      <name val="Calibri"/>
      <family val="2"/>
    </font>
    <font>
      <b/>
      <sz val="10"/>
      <color theme="7"/>
      <name val="Calibri"/>
      <family val="2"/>
    </font>
    <font>
      <sz val="10"/>
      <color indexed="9"/>
      <name val="Calibri"/>
      <family val="2"/>
    </font>
    <font>
      <sz val="10"/>
      <color theme="7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7"/>
      <name val="Calibri"/>
      <family val="2"/>
      <scheme val="minor"/>
    </font>
    <font>
      <b/>
      <u/>
      <sz val="10"/>
      <color theme="7"/>
      <name val="Calibri"/>
      <family val="2"/>
    </font>
    <font>
      <b/>
      <i/>
      <sz val="14"/>
      <name val="Arial"/>
      <family val="2"/>
    </font>
    <font>
      <b/>
      <sz val="10"/>
      <color theme="3" tint="-0.499984740745262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5"/>
      <name val="Calibri"/>
      <family val="2"/>
    </font>
    <font>
      <sz val="11"/>
      <name val="Calibri"/>
      <family val="2"/>
    </font>
    <font>
      <b/>
      <sz val="11"/>
      <color theme="7"/>
      <name val="Calibri"/>
      <family val="2"/>
    </font>
    <font>
      <b/>
      <sz val="10"/>
      <color theme="0" tint="-0.34998626667073579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7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</font>
    <font>
      <i/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2C5C84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Gray">
        <bgColor theme="7" tint="0.79995117038483843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BE7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indexed="64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theme="7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3" fillId="21" borderId="3" applyNumberFormat="0" applyFont="0" applyAlignment="0" applyProtection="0"/>
    <xf numFmtId="0" fontId="8" fillId="7" borderId="1" applyNumberFormat="0" applyAlignment="0" applyProtection="0"/>
    <xf numFmtId="166" fontId="9" fillId="0" borderId="0" applyFont="0" applyFill="0" applyBorder="0" applyAlignment="0" applyProtection="0"/>
    <xf numFmtId="0" fontId="10" fillId="3" borderId="0" applyNumberFormat="0" applyBorder="0" applyAlignment="0" applyProtection="0"/>
    <xf numFmtId="170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20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23" borderId="9" applyNumberFormat="0" applyAlignment="0" applyProtection="0"/>
    <xf numFmtId="0" fontId="9" fillId="0" borderId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6" fillId="20" borderId="37" applyNumberFormat="0" applyAlignment="0" applyProtection="0"/>
    <xf numFmtId="0" fontId="3" fillId="21" borderId="38" applyNumberFormat="0" applyFont="0" applyAlignment="0" applyProtection="0"/>
    <xf numFmtId="0" fontId="8" fillId="7" borderId="37" applyNumberFormat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20" borderId="39" applyNumberFormat="0" applyAlignment="0" applyProtection="0"/>
    <xf numFmtId="0" fontId="20" fillId="0" borderId="40" applyNumberFormat="0" applyFill="0" applyAlignment="0" applyProtection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721">
    <xf numFmtId="0" fontId="0" fillId="0" borderId="0" xfId="0"/>
    <xf numFmtId="0" fontId="29" fillId="0" borderId="0" xfId="0" applyFont="1"/>
    <xf numFmtId="0" fontId="24" fillId="0" borderId="0" xfId="0" applyFont="1"/>
    <xf numFmtId="0" fontId="27" fillId="25" borderId="21" xfId="0" applyFont="1" applyFill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/>
    </xf>
    <xf numFmtId="0" fontId="23" fillId="0" borderId="0" xfId="0" applyFont="1"/>
    <xf numFmtId="3" fontId="23" fillId="0" borderId="0" xfId="0" applyNumberFormat="1" applyFont="1"/>
    <xf numFmtId="0" fontId="24" fillId="0" borderId="14" xfId="0" applyFont="1" applyBorder="1"/>
    <xf numFmtId="0" fontId="24" fillId="26" borderId="17" xfId="0" applyFont="1" applyFill="1" applyBorder="1" applyAlignment="1">
      <alignment horizontal="center" vertical="center" wrapText="1"/>
    </xf>
    <xf numFmtId="3" fontId="24" fillId="0" borderId="21" xfId="0" applyNumberFormat="1" applyFont="1" applyBorder="1" applyAlignment="1">
      <alignment horizontal="center" vertical="center"/>
    </xf>
    <xf numFmtId="3" fontId="24" fillId="24" borderId="17" xfId="0" applyNumberFormat="1" applyFont="1" applyFill="1" applyBorder="1" applyAlignment="1">
      <alignment horizontal="center" vertical="center"/>
    </xf>
    <xf numFmtId="3" fontId="24" fillId="0" borderId="0" xfId="0" applyNumberFormat="1" applyFont="1"/>
    <xf numFmtId="0" fontId="24" fillId="26" borderId="12" xfId="0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/>
    </xf>
    <xf numFmtId="3" fontId="24" fillId="24" borderId="12" xfId="0" applyNumberFormat="1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 wrapText="1"/>
    </xf>
    <xf numFmtId="3" fontId="24" fillId="24" borderId="18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24" borderId="16" xfId="0" applyFont="1" applyFill="1" applyBorder="1"/>
    <xf numFmtId="3" fontId="23" fillId="24" borderId="19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0" fontId="28" fillId="28" borderId="16" xfId="0" applyFont="1" applyFill="1" applyBorder="1"/>
    <xf numFmtId="0" fontId="28" fillId="28" borderId="30" xfId="0" applyFont="1" applyFill="1" applyBorder="1" applyAlignment="1">
      <alignment horizontal="center" vertical="center" wrapText="1"/>
    </xf>
    <xf numFmtId="3" fontId="28" fillId="28" borderId="19" xfId="0" applyNumberFormat="1" applyFont="1" applyFill="1" applyBorder="1" applyAlignment="1">
      <alignment horizontal="center" vertical="center"/>
    </xf>
    <xf numFmtId="3" fontId="28" fillId="28" borderId="24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indent="1"/>
    </xf>
    <xf numFmtId="0" fontId="24" fillId="26" borderId="29" xfId="0" applyFont="1" applyFill="1" applyBorder="1" applyAlignment="1">
      <alignment horizontal="center" vertical="center" wrapText="1"/>
    </xf>
    <xf numFmtId="0" fontId="24" fillId="26" borderId="2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12" xfId="0" applyFont="1" applyBorder="1"/>
    <xf numFmtId="4" fontId="24" fillId="0" borderId="0" xfId="0" applyNumberFormat="1" applyFont="1"/>
    <xf numFmtId="0" fontId="24" fillId="0" borderId="14" xfId="0" applyFont="1" applyBorder="1" applyAlignment="1">
      <alignment horizontal="left" indent="1"/>
    </xf>
    <xf numFmtId="0" fontId="24" fillId="0" borderId="10" xfId="0" applyFont="1" applyBorder="1" applyAlignment="1">
      <alignment horizontal="left" vertical="center" indent="1"/>
    </xf>
    <xf numFmtId="0" fontId="23" fillId="24" borderId="24" xfId="0" applyFont="1" applyFill="1" applyBorder="1" applyAlignment="1">
      <alignment horizontal="center"/>
    </xf>
    <xf numFmtId="3" fontId="23" fillId="24" borderId="20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indent="1"/>
    </xf>
    <xf numFmtId="165" fontId="24" fillId="26" borderId="12" xfId="33" applyNumberFormat="1" applyFont="1" applyFill="1" applyBorder="1" applyAlignment="1">
      <alignment horizontal="center"/>
    </xf>
    <xf numFmtId="3" fontId="24" fillId="0" borderId="11" xfId="0" applyNumberFormat="1" applyFont="1" applyBorder="1" applyAlignment="1">
      <alignment horizontal="center"/>
    </xf>
    <xf numFmtId="3" fontId="24" fillId="24" borderId="11" xfId="0" applyNumberFormat="1" applyFont="1" applyFill="1" applyBorder="1" applyAlignment="1">
      <alignment horizontal="center"/>
    </xf>
    <xf numFmtId="168" fontId="24" fillId="0" borderId="0" xfId="0" applyNumberFormat="1" applyFont="1"/>
    <xf numFmtId="0" fontId="24" fillId="0" borderId="12" xfId="0" applyFont="1" applyBorder="1" applyAlignment="1">
      <alignment horizontal="left"/>
    </xf>
    <xf numFmtId="0" fontId="23" fillId="26" borderId="0" xfId="0" applyFont="1" applyFill="1"/>
    <xf numFmtId="168" fontId="23" fillId="26" borderId="0" xfId="0" applyNumberFormat="1" applyFont="1" applyFill="1"/>
    <xf numFmtId="3" fontId="23" fillId="26" borderId="0" xfId="0" applyNumberFormat="1" applyFont="1" applyFill="1"/>
    <xf numFmtId="0" fontId="27" fillId="25" borderId="24" xfId="0" applyFont="1" applyFill="1" applyBorder="1" applyAlignment="1">
      <alignment horizontal="center" vertical="center"/>
    </xf>
    <xf numFmtId="165" fontId="25" fillId="25" borderId="16" xfId="33" applyNumberFormat="1" applyFont="1" applyFill="1" applyBorder="1" applyAlignment="1">
      <alignment horizontal="center" vertical="center" wrapText="1"/>
    </xf>
    <xf numFmtId="0" fontId="27" fillId="25" borderId="24" xfId="0" applyFont="1" applyFill="1" applyBorder="1" applyAlignment="1">
      <alignment horizontal="center" vertical="center" wrapText="1"/>
    </xf>
    <xf numFmtId="2" fontId="24" fillId="0" borderId="0" xfId="0" applyNumberFormat="1" applyFont="1"/>
    <xf numFmtId="0" fontId="24" fillId="0" borderId="0" xfId="0" applyFont="1" applyAlignment="1">
      <alignment horizontal="left" indent="1"/>
    </xf>
    <xf numFmtId="0" fontId="28" fillId="28" borderId="16" xfId="0" applyFont="1" applyFill="1" applyBorder="1" applyAlignment="1">
      <alignment horizontal="left" vertical="center"/>
    </xf>
    <xf numFmtId="165" fontId="28" fillId="28" borderId="17" xfId="33" applyNumberFormat="1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left" indent="1"/>
    </xf>
    <xf numFmtId="165" fontId="28" fillId="28" borderId="24" xfId="33" applyNumberFormat="1" applyFont="1" applyFill="1" applyBorder="1" applyAlignment="1">
      <alignment horizontal="center" vertical="center" wrapText="1"/>
    </xf>
    <xf numFmtId="3" fontId="30" fillId="28" borderId="24" xfId="0" applyNumberFormat="1" applyFont="1" applyFill="1" applyBorder="1" applyAlignment="1">
      <alignment horizontal="center"/>
    </xf>
    <xf numFmtId="0" fontId="24" fillId="26" borderId="12" xfId="0" applyFont="1" applyFill="1" applyBorder="1" applyAlignment="1">
      <alignment horizontal="left"/>
    </xf>
    <xf numFmtId="3" fontId="24" fillId="24" borderId="12" xfId="0" applyNumberFormat="1" applyFont="1" applyFill="1" applyBorder="1" applyAlignment="1">
      <alignment horizontal="center" wrapText="1"/>
    </xf>
    <xf numFmtId="0" fontId="23" fillId="24" borderId="24" xfId="0" applyFont="1" applyFill="1" applyBorder="1" applyAlignment="1">
      <alignment horizontal="center" vertical="center" wrapText="1"/>
    </xf>
    <xf numFmtId="169" fontId="24" fillId="0" borderId="0" xfId="0" applyNumberFormat="1" applyFont="1"/>
    <xf numFmtId="0" fontId="24" fillId="0" borderId="18" xfId="0" applyFont="1" applyBorder="1" applyAlignment="1">
      <alignment horizontal="left" indent="1"/>
    </xf>
    <xf numFmtId="3" fontId="23" fillId="24" borderId="16" xfId="0" applyNumberFormat="1" applyFont="1" applyFill="1" applyBorder="1" applyAlignment="1">
      <alignment horizontal="center" vertical="center"/>
    </xf>
    <xf numFmtId="0" fontId="24" fillId="0" borderId="10" xfId="0" applyFont="1" applyBorder="1"/>
    <xf numFmtId="3" fontId="23" fillId="26" borderId="24" xfId="0" applyNumberFormat="1" applyFont="1" applyFill="1" applyBorder="1" applyAlignment="1">
      <alignment horizontal="center" vertical="center"/>
    </xf>
    <xf numFmtId="0" fontId="25" fillId="25" borderId="17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12" xfId="0" applyFont="1" applyBorder="1"/>
    <xf numFmtId="0" fontId="25" fillId="25" borderId="21" xfId="0" applyFont="1" applyFill="1" applyBorder="1" applyAlignment="1">
      <alignment horizontal="center" vertical="center" wrapText="1"/>
    </xf>
    <xf numFmtId="0" fontId="25" fillId="25" borderId="22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center" vertical="center"/>
    </xf>
    <xf numFmtId="3" fontId="23" fillId="26" borderId="17" xfId="0" applyNumberFormat="1" applyFont="1" applyFill="1" applyBorder="1" applyAlignment="1">
      <alignment horizontal="center" vertical="center"/>
    </xf>
    <xf numFmtId="3" fontId="24" fillId="26" borderId="12" xfId="0" applyNumberFormat="1" applyFont="1" applyFill="1" applyBorder="1" applyAlignment="1">
      <alignment horizontal="center" vertical="center"/>
    </xf>
    <xf numFmtId="3" fontId="23" fillId="26" borderId="12" xfId="0" applyNumberFormat="1" applyFont="1" applyFill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left" vertical="center" indent="1"/>
    </xf>
    <xf numFmtId="3" fontId="24" fillId="26" borderId="10" xfId="0" applyNumberFormat="1" applyFont="1" applyFill="1" applyBorder="1" applyAlignment="1">
      <alignment horizontal="left" vertical="center" indent="1"/>
    </xf>
    <xf numFmtId="172" fontId="29" fillId="25" borderId="23" xfId="0" applyNumberFormat="1" applyFont="1" applyFill="1" applyBorder="1" applyAlignment="1">
      <alignment horizontal="center" vertical="center"/>
    </xf>
    <xf numFmtId="172" fontId="29" fillId="25" borderId="18" xfId="0" applyNumberFormat="1" applyFont="1" applyFill="1" applyBorder="1" applyAlignment="1">
      <alignment horizontal="center" vertical="center"/>
    </xf>
    <xf numFmtId="165" fontId="24" fillId="26" borderId="18" xfId="33" applyNumberFormat="1" applyFont="1" applyFill="1" applyBorder="1" applyAlignment="1">
      <alignment horizontal="center"/>
    </xf>
    <xf numFmtId="0" fontId="27" fillId="25" borderId="17" xfId="0" applyFont="1" applyFill="1" applyBorder="1" applyAlignment="1">
      <alignment vertical="center" wrapText="1"/>
    </xf>
    <xf numFmtId="0" fontId="27" fillId="25" borderId="18" xfId="0" applyFont="1" applyFill="1" applyBorder="1" applyAlignment="1">
      <alignment vertical="center" wrapText="1"/>
    </xf>
    <xf numFmtId="0" fontId="23" fillId="24" borderId="15" xfId="0" applyFont="1" applyFill="1" applyBorder="1"/>
    <xf numFmtId="0" fontId="31" fillId="0" borderId="17" xfId="36" applyFont="1" applyBorder="1" applyAlignment="1">
      <alignment horizontal="left" indent="1"/>
    </xf>
    <xf numFmtId="0" fontId="31" fillId="0" borderId="12" xfId="36" applyFont="1" applyBorder="1" applyAlignment="1">
      <alignment horizontal="left" indent="1"/>
    </xf>
    <xf numFmtId="0" fontId="31" fillId="0" borderId="18" xfId="36" applyFont="1" applyBorder="1" applyAlignment="1">
      <alignment horizontal="left" indent="1"/>
    </xf>
    <xf numFmtId="0" fontId="24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32" fillId="24" borderId="16" xfId="0" applyFont="1" applyFill="1" applyBorder="1" applyAlignment="1">
      <alignment horizontal="left" vertical="center"/>
    </xf>
    <xf numFmtId="0" fontId="24" fillId="0" borderId="18" xfId="0" applyFont="1" applyBorder="1"/>
    <xf numFmtId="0" fontId="32" fillId="24" borderId="24" xfId="0" applyFont="1" applyFill="1" applyBorder="1" applyAlignment="1">
      <alignment horizontal="left" vertical="center" wrapText="1"/>
    </xf>
    <xf numFmtId="0" fontId="24" fillId="29" borderId="12" xfId="0" applyFont="1" applyFill="1" applyBorder="1"/>
    <xf numFmtId="0" fontId="24" fillId="29" borderId="18" xfId="0" applyFont="1" applyFill="1" applyBorder="1"/>
    <xf numFmtId="0" fontId="33" fillId="0" borderId="0" xfId="49" applyFont="1" applyAlignment="1">
      <alignment vertical="center"/>
    </xf>
    <xf numFmtId="0" fontId="23" fillId="24" borderId="24" xfId="0" applyFont="1" applyFill="1" applyBorder="1"/>
    <xf numFmtId="0" fontId="36" fillId="0" borderId="0" xfId="49" applyFont="1" applyAlignment="1">
      <alignment vertical="center"/>
    </xf>
    <xf numFmtId="0" fontId="33" fillId="0" borderId="0" xfId="49" applyFont="1"/>
    <xf numFmtId="3" fontId="33" fillId="0" borderId="0" xfId="49" applyNumberFormat="1" applyFont="1" applyAlignment="1">
      <alignment horizontal="center" vertical="center"/>
    </xf>
    <xf numFmtId="0" fontId="37" fillId="0" borderId="0" xfId="49" applyFont="1" applyAlignment="1">
      <alignment horizontal="left" vertical="center" indent="1"/>
    </xf>
    <xf numFmtId="173" fontId="33" fillId="0" borderId="0" xfId="50" applyNumberFormat="1" applyFont="1" applyAlignment="1">
      <alignment vertical="center"/>
    </xf>
    <xf numFmtId="3" fontId="37" fillId="0" borderId="0" xfId="49" applyNumberFormat="1" applyFont="1" applyAlignment="1">
      <alignment horizontal="left" vertical="center"/>
    </xf>
    <xf numFmtId="0" fontId="38" fillId="0" borderId="0" xfId="49" applyFont="1" applyAlignment="1">
      <alignment vertical="center"/>
    </xf>
    <xf numFmtId="0" fontId="24" fillId="26" borderId="12" xfId="0" applyFont="1" applyFill="1" applyBorder="1" applyAlignment="1">
      <alignment vertical="center" wrapText="1"/>
    </xf>
    <xf numFmtId="0" fontId="28" fillId="28" borderId="14" xfId="0" applyFont="1" applyFill="1" applyBorder="1"/>
    <xf numFmtId="3" fontId="24" fillId="0" borderId="23" xfId="0" applyNumberFormat="1" applyFont="1" applyBorder="1" applyAlignment="1">
      <alignment horizontal="center" vertical="center"/>
    </xf>
    <xf numFmtId="0" fontId="33" fillId="0" borderId="0" xfId="49" applyFont="1" applyAlignment="1">
      <alignment vertical="center" wrapText="1"/>
    </xf>
    <xf numFmtId="3" fontId="37" fillId="26" borderId="10" xfId="49" applyNumberFormat="1" applyFont="1" applyFill="1" applyBorder="1" applyAlignment="1">
      <alignment horizontal="center" vertical="center" wrapText="1"/>
    </xf>
    <xf numFmtId="0" fontId="24" fillId="0" borderId="15" xfId="0" applyFont="1" applyBorder="1"/>
    <xf numFmtId="3" fontId="28" fillId="28" borderId="23" xfId="0" applyNumberFormat="1" applyFont="1" applyFill="1" applyBorder="1" applyAlignment="1">
      <alignment horizontal="center" vertical="center"/>
    </xf>
    <xf numFmtId="0" fontId="24" fillId="29" borderId="16" xfId="0" applyFont="1" applyFill="1" applyBorder="1"/>
    <xf numFmtId="0" fontId="23" fillId="29" borderId="24" xfId="0" applyFont="1" applyFill="1" applyBorder="1" applyAlignment="1">
      <alignment horizontal="center" vertical="center" wrapText="1"/>
    </xf>
    <xf numFmtId="0" fontId="3" fillId="0" borderId="0" xfId="36"/>
    <xf numFmtId="0" fontId="40" fillId="0" borderId="0" xfId="36" applyFont="1" applyAlignment="1">
      <alignment vertical="center"/>
    </xf>
    <xf numFmtId="0" fontId="28" fillId="28" borderId="24" xfId="0" applyFont="1" applyFill="1" applyBorder="1" applyAlignment="1">
      <alignment horizontal="left" vertical="center"/>
    </xf>
    <xf numFmtId="0" fontId="28" fillId="26" borderId="24" xfId="0" applyFont="1" applyFill="1" applyBorder="1" applyAlignment="1">
      <alignment horizontal="left" vertical="center"/>
    </xf>
    <xf numFmtId="172" fontId="26" fillId="25" borderId="13" xfId="0" applyNumberFormat="1" applyFont="1" applyFill="1" applyBorder="1" applyAlignment="1">
      <alignment horizontal="center"/>
    </xf>
    <xf numFmtId="0" fontId="23" fillId="24" borderId="24" xfId="0" applyFont="1" applyFill="1" applyBorder="1" applyAlignment="1">
      <alignment horizontal="center" vertical="center"/>
    </xf>
    <xf numFmtId="0" fontId="27" fillId="25" borderId="14" xfId="0" applyFont="1" applyFill="1" applyBorder="1" applyAlignment="1">
      <alignment horizontal="center" vertical="center"/>
    </xf>
    <xf numFmtId="0" fontId="27" fillId="25" borderId="22" xfId="0" applyFont="1" applyFill="1" applyBorder="1" applyAlignment="1">
      <alignment horizontal="center" vertical="center"/>
    </xf>
    <xf numFmtId="0" fontId="33" fillId="0" borderId="14" xfId="36" applyFont="1" applyBorder="1" applyAlignment="1">
      <alignment horizontal="left" vertical="center" indent="1" readingOrder="1"/>
    </xf>
    <xf numFmtId="3" fontId="33" fillId="0" borderId="14" xfId="36" applyNumberFormat="1" applyFont="1" applyBorder="1" applyAlignment="1">
      <alignment horizontal="center" vertical="center"/>
    </xf>
    <xf numFmtId="3" fontId="33" fillId="0" borderId="17" xfId="36" applyNumberFormat="1" applyFont="1" applyBorder="1" applyAlignment="1">
      <alignment horizontal="center" vertical="center"/>
    </xf>
    <xf numFmtId="3" fontId="33" fillId="0" borderId="22" xfId="36" applyNumberFormat="1" applyFont="1" applyBorder="1" applyAlignment="1">
      <alignment horizontal="center" vertical="center"/>
    </xf>
    <xf numFmtId="0" fontId="33" fillId="0" borderId="10" xfId="36" applyFont="1" applyBorder="1" applyAlignment="1">
      <alignment horizontal="left" vertical="center" indent="1" readingOrder="1"/>
    </xf>
    <xf numFmtId="3" fontId="33" fillId="0" borderId="10" xfId="36" applyNumberFormat="1" applyFont="1" applyBorder="1" applyAlignment="1">
      <alignment horizontal="center" vertical="center"/>
    </xf>
    <xf numFmtId="3" fontId="33" fillId="0" borderId="12" xfId="36" applyNumberFormat="1" applyFont="1" applyBorder="1" applyAlignment="1">
      <alignment horizontal="center" vertical="center"/>
    </xf>
    <xf numFmtId="3" fontId="33" fillId="0" borderId="11" xfId="36" applyNumberFormat="1" applyFont="1" applyBorder="1" applyAlignment="1">
      <alignment horizontal="center" vertical="center"/>
    </xf>
    <xf numFmtId="0" fontId="33" fillId="0" borderId="15" xfId="36" applyFont="1" applyBorder="1" applyAlignment="1">
      <alignment horizontal="left" vertical="center" indent="1" readingOrder="1"/>
    </xf>
    <xf numFmtId="3" fontId="33" fillId="0" borderId="15" xfId="36" applyNumberFormat="1" applyFont="1" applyBorder="1" applyAlignment="1">
      <alignment horizontal="center" vertical="center"/>
    </xf>
    <xf numFmtId="3" fontId="33" fillId="0" borderId="18" xfId="36" applyNumberFormat="1" applyFont="1" applyBorder="1" applyAlignment="1">
      <alignment horizontal="center" vertical="center"/>
    </xf>
    <xf numFmtId="3" fontId="33" fillId="0" borderId="13" xfId="36" applyNumberFormat="1" applyFont="1" applyBorder="1" applyAlignment="1">
      <alignment horizontal="center" vertical="center"/>
    </xf>
    <xf numFmtId="174" fontId="41" fillId="26" borderId="16" xfId="0" applyNumberFormat="1" applyFont="1" applyFill="1" applyBorder="1" applyAlignment="1">
      <alignment horizontal="left" vertical="center" wrapText="1" indent="1"/>
    </xf>
    <xf numFmtId="3" fontId="41" fillId="26" borderId="16" xfId="0" applyNumberFormat="1" applyFont="1" applyFill="1" applyBorder="1" applyAlignment="1">
      <alignment horizontal="center" vertical="center" wrapText="1"/>
    </xf>
    <xf numFmtId="3" fontId="41" fillId="26" borderId="24" xfId="0" applyNumberFormat="1" applyFont="1" applyFill="1" applyBorder="1" applyAlignment="1">
      <alignment horizontal="center" vertical="center" wrapText="1"/>
    </xf>
    <xf numFmtId="3" fontId="41" fillId="26" borderId="2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/>
    </xf>
    <xf numFmtId="0" fontId="33" fillId="0" borderId="14" xfId="36" applyFont="1" applyBorder="1" applyAlignment="1">
      <alignment horizontal="left" vertical="center" indent="1"/>
    </xf>
    <xf numFmtId="0" fontId="33" fillId="0" borderId="10" xfId="36" applyFont="1" applyBorder="1" applyAlignment="1">
      <alignment horizontal="left" vertical="center" indent="1"/>
    </xf>
    <xf numFmtId="0" fontId="33" fillId="0" borderId="0" xfId="36" applyFont="1" applyAlignment="1">
      <alignment vertical="center"/>
    </xf>
    <xf numFmtId="3" fontId="33" fillId="0" borderId="0" xfId="36" applyNumberFormat="1" applyFont="1" applyAlignment="1">
      <alignment horizontal="center" vertical="center"/>
    </xf>
    <xf numFmtId="0" fontId="35" fillId="0" borderId="17" xfId="0" applyFont="1" applyBorder="1" applyAlignment="1">
      <alignment horizontal="left" vertical="center" indent="1"/>
    </xf>
    <xf numFmtId="0" fontId="35" fillId="0" borderId="12" xfId="0" applyFont="1" applyBorder="1" applyAlignment="1">
      <alignment horizontal="left" vertical="center" indent="1"/>
    </xf>
    <xf numFmtId="0" fontId="35" fillId="0" borderId="18" xfId="0" applyFont="1" applyBorder="1" applyAlignment="1">
      <alignment horizontal="left" vertical="center" indent="1"/>
    </xf>
    <xf numFmtId="0" fontId="34" fillId="30" borderId="24" xfId="36" applyFont="1" applyFill="1" applyBorder="1" applyAlignment="1">
      <alignment horizontal="left" vertical="center" indent="1" readingOrder="1"/>
    </xf>
    <xf numFmtId="3" fontId="34" fillId="30" borderId="16" xfId="36" applyNumberFormat="1" applyFont="1" applyFill="1" applyBorder="1" applyAlignment="1">
      <alignment horizontal="center" vertical="center"/>
    </xf>
    <xf numFmtId="3" fontId="34" fillId="30" borderId="24" xfId="36" applyNumberFormat="1" applyFont="1" applyFill="1" applyBorder="1" applyAlignment="1">
      <alignment horizontal="center" vertical="center"/>
    </xf>
    <xf numFmtId="0" fontId="34" fillId="30" borderId="24" xfId="36" applyFont="1" applyFill="1" applyBorder="1" applyAlignment="1">
      <alignment horizontal="left" vertical="center" indent="1"/>
    </xf>
    <xf numFmtId="3" fontId="34" fillId="30" borderId="19" xfId="36" applyNumberFormat="1" applyFont="1" applyFill="1" applyBorder="1" applyAlignment="1">
      <alignment horizontal="center" vertical="center"/>
    </xf>
    <xf numFmtId="0" fontId="28" fillId="28" borderId="31" xfId="0" applyFont="1" applyFill="1" applyBorder="1" applyAlignment="1">
      <alignment horizontal="center" vertical="center" wrapText="1"/>
    </xf>
    <xf numFmtId="0" fontId="28" fillId="28" borderId="24" xfId="0" applyFont="1" applyFill="1" applyBorder="1" applyAlignment="1">
      <alignment horizontal="center" vertical="center" wrapText="1"/>
    </xf>
    <xf numFmtId="171" fontId="28" fillId="28" borderId="19" xfId="0" applyNumberFormat="1" applyFont="1" applyFill="1" applyBorder="1" applyAlignment="1">
      <alignment horizontal="center"/>
    </xf>
    <xf numFmtId="0" fontId="28" fillId="28" borderId="19" xfId="0" applyFont="1" applyFill="1" applyBorder="1"/>
    <xf numFmtId="0" fontId="28" fillId="28" borderId="20" xfId="0" applyFont="1" applyFill="1" applyBorder="1"/>
    <xf numFmtId="0" fontId="28" fillId="28" borderId="17" xfId="0" applyFont="1" applyFill="1" applyBorder="1" applyAlignment="1">
      <alignment horizontal="center" vertical="center" wrapText="1"/>
    </xf>
    <xf numFmtId="3" fontId="33" fillId="24" borderId="11" xfId="49" applyNumberFormat="1" applyFont="1" applyFill="1" applyBorder="1" applyAlignment="1">
      <alignment horizontal="center" vertical="center" wrapText="1"/>
    </xf>
    <xf numFmtId="3" fontId="24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175" fontId="23" fillId="24" borderId="24" xfId="0" applyNumberFormat="1" applyFont="1" applyFill="1" applyBorder="1" applyAlignment="1">
      <alignment horizontal="center" vertical="center"/>
    </xf>
    <xf numFmtId="175" fontId="24" fillId="24" borderId="11" xfId="0" applyNumberFormat="1" applyFont="1" applyFill="1" applyBorder="1" applyAlignment="1">
      <alignment horizontal="center"/>
    </xf>
    <xf numFmtId="175" fontId="23" fillId="24" borderId="20" xfId="0" applyNumberFormat="1" applyFont="1" applyFill="1" applyBorder="1" applyAlignment="1">
      <alignment horizontal="center" vertical="center"/>
    </xf>
    <xf numFmtId="9" fontId="0" fillId="0" borderId="0" xfId="37" applyFont="1"/>
    <xf numFmtId="3" fontId="42" fillId="0" borderId="0" xfId="0" applyNumberFormat="1" applyFont="1"/>
    <xf numFmtId="171" fontId="23" fillId="24" borderId="24" xfId="0" applyNumberFormat="1" applyFont="1" applyFill="1" applyBorder="1" applyAlignment="1">
      <alignment horizontal="center"/>
    </xf>
    <xf numFmtId="175" fontId="42" fillId="0" borderId="0" xfId="0" applyNumberFormat="1" applyFont="1"/>
    <xf numFmtId="0" fontId="42" fillId="0" borderId="0" xfId="0" applyFont="1"/>
    <xf numFmtId="170" fontId="24" fillId="0" borderId="0" xfId="37" applyNumberFormat="1" applyFont="1"/>
    <xf numFmtId="10" fontId="24" fillId="0" borderId="0" xfId="37" applyNumberFormat="1" applyFont="1"/>
    <xf numFmtId="0" fontId="31" fillId="0" borderId="10" xfId="0" applyFont="1" applyBorder="1" applyAlignment="1">
      <alignment horizontal="left" indent="1"/>
    </xf>
    <xf numFmtId="176" fontId="24" fillId="0" borderId="0" xfId="51" applyNumberFormat="1" applyFont="1"/>
    <xf numFmtId="0" fontId="31" fillId="0" borderId="0" xfId="0" applyFont="1"/>
    <xf numFmtId="3" fontId="33" fillId="0" borderId="17" xfId="51" applyNumberFormat="1" applyFont="1" applyFill="1" applyBorder="1" applyAlignment="1">
      <alignment horizontal="center" vertical="center"/>
    </xf>
    <xf numFmtId="3" fontId="33" fillId="0" borderId="12" xfId="51" applyNumberFormat="1" applyFont="1" applyFill="1" applyBorder="1" applyAlignment="1">
      <alignment horizontal="center" vertical="center"/>
    </xf>
    <xf numFmtId="3" fontId="33" fillId="0" borderId="18" xfId="51" applyNumberFormat="1" applyFont="1" applyFill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 wrapText="1"/>
    </xf>
    <xf numFmtId="3" fontId="24" fillId="0" borderId="18" xfId="0" applyNumberFormat="1" applyFont="1" applyBorder="1" applyAlignment="1">
      <alignment horizontal="center" vertical="center" wrapText="1"/>
    </xf>
    <xf numFmtId="3" fontId="28" fillId="28" borderId="16" xfId="0" applyNumberFormat="1" applyFont="1" applyFill="1" applyBorder="1" applyAlignment="1">
      <alignment horizontal="center" vertical="center"/>
    </xf>
    <xf numFmtId="3" fontId="28" fillId="28" borderId="20" xfId="0" applyNumberFormat="1" applyFont="1" applyFill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 wrapText="1"/>
    </xf>
    <xf numFmtId="0" fontId="24" fillId="26" borderId="17" xfId="0" applyFont="1" applyFill="1" applyBorder="1" applyAlignment="1">
      <alignment horizontal="center" vertical="center"/>
    </xf>
    <xf numFmtId="172" fontId="29" fillId="25" borderId="13" xfId="0" applyNumberFormat="1" applyFont="1" applyFill="1" applyBorder="1" applyAlignment="1">
      <alignment horizontal="center" vertical="center"/>
    </xf>
    <xf numFmtId="3" fontId="24" fillId="0" borderId="22" xfId="0" applyNumberFormat="1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3" fontId="28" fillId="28" borderId="13" xfId="0" applyNumberFormat="1" applyFont="1" applyFill="1" applyBorder="1" applyAlignment="1">
      <alignment horizontal="center" vertical="center"/>
    </xf>
    <xf numFmtId="0" fontId="27" fillId="31" borderId="17" xfId="0" applyFont="1" applyFill="1" applyBorder="1" applyAlignment="1">
      <alignment horizontal="center" vertical="center" wrapText="1"/>
    </xf>
    <xf numFmtId="3" fontId="24" fillId="32" borderId="17" xfId="0" applyNumberFormat="1" applyFont="1" applyFill="1" applyBorder="1" applyAlignment="1">
      <alignment horizontal="center"/>
    </xf>
    <xf numFmtId="3" fontId="24" fillId="32" borderId="12" xfId="0" applyNumberFormat="1" applyFont="1" applyFill="1" applyBorder="1" applyAlignment="1">
      <alignment horizontal="center"/>
    </xf>
    <xf numFmtId="3" fontId="24" fillId="32" borderId="24" xfId="0" applyNumberFormat="1" applyFont="1" applyFill="1" applyBorder="1" applyAlignment="1">
      <alignment horizontal="center"/>
    </xf>
    <xf numFmtId="3" fontId="24" fillId="24" borderId="17" xfId="0" applyNumberFormat="1" applyFont="1" applyFill="1" applyBorder="1" applyAlignment="1">
      <alignment horizontal="center"/>
    </xf>
    <xf numFmtId="172" fontId="29" fillId="25" borderId="18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/>
    </xf>
    <xf numFmtId="0" fontId="44" fillId="0" borderId="24" xfId="0" applyFont="1" applyBorder="1" applyAlignment="1">
      <alignment horizontal="center" vertical="center" wrapText="1"/>
    </xf>
    <xf numFmtId="0" fontId="27" fillId="31" borderId="18" xfId="0" applyFont="1" applyFill="1" applyBorder="1" applyAlignment="1">
      <alignment horizontal="center" vertical="center" wrapText="1"/>
    </xf>
    <xf numFmtId="3" fontId="24" fillId="24" borderId="18" xfId="0" applyNumberFormat="1" applyFont="1" applyFill="1" applyBorder="1" applyAlignment="1">
      <alignment horizontal="center"/>
    </xf>
    <xf numFmtId="3" fontId="23" fillId="32" borderId="24" xfId="0" applyNumberFormat="1" applyFont="1" applyFill="1" applyBorder="1" applyAlignment="1">
      <alignment horizontal="center" vertical="center"/>
    </xf>
    <xf numFmtId="3" fontId="24" fillId="24" borderId="24" xfId="0" applyNumberFormat="1" applyFont="1" applyFill="1" applyBorder="1" applyAlignment="1">
      <alignment horizontal="center" vertical="center"/>
    </xf>
    <xf numFmtId="3" fontId="24" fillId="24" borderId="20" xfId="0" applyNumberFormat="1" applyFont="1" applyFill="1" applyBorder="1" applyAlignment="1">
      <alignment horizontal="center"/>
    </xf>
    <xf numFmtId="172" fontId="29" fillId="25" borderId="12" xfId="0" applyNumberFormat="1" applyFont="1" applyFill="1" applyBorder="1" applyAlignment="1">
      <alignment horizontal="center" vertical="center" wrapText="1"/>
    </xf>
    <xf numFmtId="3" fontId="24" fillId="24" borderId="22" xfId="0" applyNumberFormat="1" applyFont="1" applyFill="1" applyBorder="1" applyAlignment="1">
      <alignment horizontal="center"/>
    </xf>
    <xf numFmtId="3" fontId="24" fillId="24" borderId="15" xfId="0" applyNumberFormat="1" applyFont="1" applyFill="1" applyBorder="1" applyAlignment="1">
      <alignment horizontal="center" vertical="center"/>
    </xf>
    <xf numFmtId="3" fontId="24" fillId="24" borderId="23" xfId="0" applyNumberFormat="1" applyFont="1" applyFill="1" applyBorder="1" applyAlignment="1">
      <alignment horizontal="center" vertical="center"/>
    </xf>
    <xf numFmtId="3" fontId="24" fillId="32" borderId="18" xfId="0" applyNumberFormat="1" applyFont="1" applyFill="1" applyBorder="1" applyAlignment="1">
      <alignment horizontal="center"/>
    </xf>
    <xf numFmtId="3" fontId="23" fillId="24" borderId="11" xfId="0" applyNumberFormat="1" applyFont="1" applyFill="1" applyBorder="1" applyAlignment="1">
      <alignment horizontal="center" vertical="center"/>
    </xf>
    <xf numFmtId="3" fontId="24" fillId="24" borderId="22" xfId="0" applyNumberFormat="1" applyFont="1" applyFill="1" applyBorder="1" applyAlignment="1">
      <alignment horizontal="center" vertical="center"/>
    </xf>
    <xf numFmtId="3" fontId="24" fillId="24" borderId="11" xfId="0" applyNumberFormat="1" applyFont="1" applyFill="1" applyBorder="1" applyAlignment="1">
      <alignment horizontal="center" vertical="center"/>
    </xf>
    <xf numFmtId="3" fontId="24" fillId="24" borderId="10" xfId="0" applyNumberFormat="1" applyFont="1" applyFill="1" applyBorder="1" applyAlignment="1">
      <alignment horizontal="center" vertical="center"/>
    </xf>
    <xf numFmtId="3" fontId="23" fillId="24" borderId="20" xfId="0" applyNumberFormat="1" applyFont="1" applyFill="1" applyBorder="1" applyAlignment="1">
      <alignment horizontal="center"/>
    </xf>
    <xf numFmtId="3" fontId="24" fillId="32" borderId="17" xfId="0" applyNumberFormat="1" applyFont="1" applyFill="1" applyBorder="1" applyAlignment="1">
      <alignment horizontal="center" vertical="center" wrapText="1"/>
    </xf>
    <xf numFmtId="3" fontId="24" fillId="32" borderId="12" xfId="0" applyNumberFormat="1" applyFont="1" applyFill="1" applyBorder="1" applyAlignment="1">
      <alignment horizontal="center" vertical="center" wrapText="1"/>
    </xf>
    <xf numFmtId="3" fontId="23" fillId="32" borderId="24" xfId="0" applyNumberFormat="1" applyFont="1" applyFill="1" applyBorder="1" applyAlignment="1">
      <alignment horizontal="center" vertical="center" wrapText="1"/>
    </xf>
    <xf numFmtId="0" fontId="28" fillId="27" borderId="0" xfId="0" applyFont="1" applyFill="1" applyAlignment="1">
      <alignment horizontal="center" vertical="center"/>
    </xf>
    <xf numFmtId="3" fontId="24" fillId="24" borderId="0" xfId="0" applyNumberFormat="1" applyFont="1" applyFill="1" applyAlignment="1">
      <alignment horizontal="center" vertical="center"/>
    </xf>
    <xf numFmtId="175" fontId="24" fillId="24" borderId="12" xfId="0" applyNumberFormat="1" applyFont="1" applyFill="1" applyBorder="1" applyAlignment="1">
      <alignment horizontal="center" vertical="center"/>
    </xf>
    <xf numFmtId="3" fontId="23" fillId="24" borderId="17" xfId="0" applyNumberFormat="1" applyFont="1" applyFill="1" applyBorder="1" applyAlignment="1">
      <alignment horizontal="center" vertical="center"/>
    </xf>
    <xf numFmtId="3" fontId="23" fillId="24" borderId="12" xfId="0" applyNumberFormat="1" applyFont="1" applyFill="1" applyBorder="1" applyAlignment="1">
      <alignment horizontal="center" vertical="center"/>
    </xf>
    <xf numFmtId="3" fontId="24" fillId="26" borderId="14" xfId="0" applyNumberFormat="1" applyFont="1" applyFill="1" applyBorder="1" applyAlignment="1">
      <alignment horizontal="left" vertical="center" indent="1"/>
    </xf>
    <xf numFmtId="3" fontId="24" fillId="26" borderId="15" xfId="0" applyNumberFormat="1" applyFont="1" applyFill="1" applyBorder="1" applyAlignment="1">
      <alignment horizontal="left" vertical="center" indent="1"/>
    </xf>
    <xf numFmtId="3" fontId="24" fillId="24" borderId="17" xfId="0" applyNumberFormat="1" applyFont="1" applyFill="1" applyBorder="1" applyAlignment="1">
      <alignment horizontal="left" vertical="center" indent="1"/>
    </xf>
    <xf numFmtId="3" fontId="24" fillId="24" borderId="12" xfId="0" applyNumberFormat="1" applyFont="1" applyFill="1" applyBorder="1" applyAlignment="1">
      <alignment horizontal="left" vertical="center" indent="1"/>
    </xf>
    <xf numFmtId="3" fontId="24" fillId="24" borderId="18" xfId="0" applyNumberFormat="1" applyFont="1" applyFill="1" applyBorder="1" applyAlignment="1">
      <alignment horizontal="left" vertical="center" indent="1"/>
    </xf>
    <xf numFmtId="3" fontId="30" fillId="28" borderId="19" xfId="0" applyNumberFormat="1" applyFont="1" applyFill="1" applyBorder="1" applyAlignment="1">
      <alignment horizontal="center" vertical="center"/>
    </xf>
    <xf numFmtId="3" fontId="30" fillId="28" borderId="20" xfId="0" applyNumberFormat="1" applyFont="1" applyFill="1" applyBorder="1" applyAlignment="1">
      <alignment horizontal="center" vertical="center"/>
    </xf>
    <xf numFmtId="3" fontId="30" fillId="28" borderId="16" xfId="0" applyNumberFormat="1" applyFont="1" applyFill="1" applyBorder="1" applyAlignment="1">
      <alignment horizontal="center" vertical="center"/>
    </xf>
    <xf numFmtId="3" fontId="30" fillId="28" borderId="24" xfId="0" applyNumberFormat="1" applyFont="1" applyFill="1" applyBorder="1" applyAlignment="1">
      <alignment horizontal="center" vertical="center"/>
    </xf>
    <xf numFmtId="3" fontId="23" fillId="24" borderId="10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32" borderId="24" xfId="0" applyFill="1" applyBorder="1"/>
    <xf numFmtId="175" fontId="24" fillId="24" borderId="17" xfId="0" applyNumberFormat="1" applyFont="1" applyFill="1" applyBorder="1" applyAlignment="1">
      <alignment horizontal="center" vertical="center"/>
    </xf>
    <xf numFmtId="3" fontId="24" fillId="24" borderId="13" xfId="0" applyNumberFormat="1" applyFont="1" applyFill="1" applyBorder="1" applyAlignment="1">
      <alignment horizontal="center"/>
    </xf>
    <xf numFmtId="3" fontId="24" fillId="0" borderId="18" xfId="0" applyNumberFormat="1" applyFont="1" applyBorder="1" applyAlignment="1">
      <alignment horizontal="left" vertical="center" indent="1"/>
    </xf>
    <xf numFmtId="3" fontId="42" fillId="0" borderId="0" xfId="0" applyNumberFormat="1" applyFont="1" applyAlignment="1">
      <alignment horizontal="center" vertical="center"/>
    </xf>
    <xf numFmtId="10" fontId="42" fillId="0" borderId="0" xfId="37" applyNumberFormat="1" applyFont="1"/>
    <xf numFmtId="3" fontId="31" fillId="0" borderId="0" xfId="0" applyNumberFormat="1" applyFont="1"/>
    <xf numFmtId="170" fontId="24" fillId="0" borderId="0" xfId="37" applyNumberFormat="1" applyFont="1" applyAlignment="1">
      <alignment horizontal="center" vertical="center"/>
    </xf>
    <xf numFmtId="177" fontId="24" fillId="0" borderId="0" xfId="0" applyNumberFormat="1" applyFont="1"/>
    <xf numFmtId="170" fontId="23" fillId="29" borderId="19" xfId="37" applyNumberFormat="1" applyFont="1" applyFill="1" applyBorder="1" applyAlignment="1">
      <alignment horizontal="center" vertical="center"/>
    </xf>
    <xf numFmtId="170" fontId="23" fillId="29" borderId="20" xfId="37" applyNumberFormat="1" applyFont="1" applyFill="1" applyBorder="1" applyAlignment="1">
      <alignment horizontal="center" vertical="center"/>
    </xf>
    <xf numFmtId="2" fontId="42" fillId="0" borderId="0" xfId="0" applyNumberFormat="1" applyFont="1"/>
    <xf numFmtId="170" fontId="23" fillId="29" borderId="24" xfId="37" applyNumberFormat="1" applyFont="1" applyFill="1" applyBorder="1" applyAlignment="1">
      <alignment horizontal="center" vertical="center"/>
    </xf>
    <xf numFmtId="170" fontId="0" fillId="0" borderId="0" xfId="0" applyNumberFormat="1"/>
    <xf numFmtId="170" fontId="23" fillId="29" borderId="16" xfId="37" applyNumberFormat="1" applyFont="1" applyFill="1" applyBorder="1" applyAlignment="1">
      <alignment horizontal="center" vertical="center"/>
    </xf>
    <xf numFmtId="0" fontId="43" fillId="0" borderId="0" xfId="0" applyFont="1"/>
    <xf numFmtId="3" fontId="43" fillId="0" borderId="0" xfId="0" applyNumberFormat="1" applyFont="1"/>
    <xf numFmtId="0" fontId="31" fillId="29" borderId="12" xfId="0" applyFont="1" applyFill="1" applyBorder="1"/>
    <xf numFmtId="173" fontId="24" fillId="0" borderId="0" xfId="51" applyNumberFormat="1" applyFont="1"/>
    <xf numFmtId="167" fontId="24" fillId="0" borderId="0" xfId="51" applyFont="1"/>
    <xf numFmtId="3" fontId="24" fillId="32" borderId="12" xfId="0" applyNumberFormat="1" applyFont="1" applyFill="1" applyBorder="1" applyAlignment="1">
      <alignment horizontal="center" vertical="center"/>
    </xf>
    <xf numFmtId="3" fontId="24" fillId="32" borderId="18" xfId="0" applyNumberFormat="1" applyFont="1" applyFill="1" applyBorder="1" applyAlignment="1">
      <alignment horizontal="center" vertical="center" wrapText="1"/>
    </xf>
    <xf numFmtId="3" fontId="24" fillId="32" borderId="21" xfId="0" applyNumberFormat="1" applyFont="1" applyFill="1" applyBorder="1" applyAlignment="1">
      <alignment horizontal="center" vertical="center"/>
    </xf>
    <xf numFmtId="3" fontId="24" fillId="32" borderId="0" xfId="0" applyNumberFormat="1" applyFont="1" applyFill="1" applyAlignment="1">
      <alignment horizontal="center" vertical="center"/>
    </xf>
    <xf numFmtId="3" fontId="24" fillId="27" borderId="0" xfId="0" applyNumberFormat="1" applyFont="1" applyFill="1" applyAlignment="1">
      <alignment horizontal="center" vertical="center"/>
    </xf>
    <xf numFmtId="0" fontId="24" fillId="27" borderId="14" xfId="0" applyFont="1" applyFill="1" applyBorder="1" applyAlignment="1">
      <alignment horizontal="left" indent="1"/>
    </xf>
    <xf numFmtId="0" fontId="24" fillId="27" borderId="12" xfId="0" applyFont="1" applyFill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left" indent="1"/>
    </xf>
    <xf numFmtId="0" fontId="31" fillId="27" borderId="10" xfId="0" applyFont="1" applyFill="1" applyBorder="1" applyAlignment="1">
      <alignment horizontal="left" indent="1"/>
    </xf>
    <xf numFmtId="0" fontId="24" fillId="27" borderId="10" xfId="0" applyFont="1" applyFill="1" applyBorder="1" applyAlignment="1">
      <alignment horizontal="left" vertical="center" indent="1"/>
    </xf>
    <xf numFmtId="3" fontId="42" fillId="27" borderId="0" xfId="0" applyNumberFormat="1" applyFont="1" applyFill="1" applyAlignment="1">
      <alignment horizontal="center" vertical="center"/>
    </xf>
    <xf numFmtId="3" fontId="24" fillId="33" borderId="17" xfId="0" applyNumberFormat="1" applyFont="1" applyFill="1" applyBorder="1" applyAlignment="1">
      <alignment horizontal="center" vertical="center" wrapText="1"/>
    </xf>
    <xf numFmtId="3" fontId="24" fillId="33" borderId="12" xfId="0" applyNumberFormat="1" applyFont="1" applyFill="1" applyBorder="1" applyAlignment="1">
      <alignment horizontal="center" vertical="center"/>
    </xf>
    <xf numFmtId="3" fontId="24" fillId="33" borderId="21" xfId="0" applyNumberFormat="1" applyFont="1" applyFill="1" applyBorder="1" applyAlignment="1">
      <alignment horizontal="center" vertical="center"/>
    </xf>
    <xf numFmtId="3" fontId="24" fillId="33" borderId="22" xfId="0" applyNumberFormat="1" applyFont="1" applyFill="1" applyBorder="1" applyAlignment="1">
      <alignment horizontal="center" vertical="center"/>
    </xf>
    <xf numFmtId="3" fontId="24" fillId="33" borderId="0" xfId="0" applyNumberFormat="1" applyFont="1" applyFill="1" applyAlignment="1">
      <alignment horizontal="center" vertical="center"/>
    </xf>
    <xf numFmtId="3" fontId="24" fillId="33" borderId="11" xfId="0" applyNumberFormat="1" applyFont="1" applyFill="1" applyBorder="1" applyAlignment="1">
      <alignment horizontal="center" vertical="center"/>
    </xf>
    <xf numFmtId="3" fontId="24" fillId="33" borderId="13" xfId="0" applyNumberFormat="1" applyFont="1" applyFill="1" applyBorder="1" applyAlignment="1">
      <alignment horizontal="center" vertical="center"/>
    </xf>
    <xf numFmtId="3" fontId="28" fillId="33" borderId="19" xfId="0" applyNumberFormat="1" applyFont="1" applyFill="1" applyBorder="1" applyAlignment="1">
      <alignment horizontal="center" vertical="center"/>
    </xf>
    <xf numFmtId="3" fontId="28" fillId="33" borderId="20" xfId="0" applyNumberFormat="1" applyFont="1" applyFill="1" applyBorder="1" applyAlignment="1">
      <alignment horizontal="center" vertical="center"/>
    </xf>
    <xf numFmtId="172" fontId="29" fillId="25" borderId="15" xfId="0" applyNumberFormat="1" applyFont="1" applyFill="1" applyBorder="1" applyAlignment="1">
      <alignment horizontal="center" vertical="center"/>
    </xf>
    <xf numFmtId="0" fontId="24" fillId="29" borderId="0" xfId="0" applyFont="1" applyFill="1"/>
    <xf numFmtId="0" fontId="31" fillId="29" borderId="0" xfId="0" applyFont="1" applyFill="1"/>
    <xf numFmtId="0" fontId="36" fillId="29" borderId="0" xfId="49" applyFont="1" applyFill="1" applyAlignment="1">
      <alignment vertical="center"/>
    </xf>
    <xf numFmtId="0" fontId="0" fillId="29" borderId="0" xfId="0" applyFill="1"/>
    <xf numFmtId="0" fontId="33" fillId="29" borderId="0" xfId="49" applyFont="1" applyFill="1" applyAlignment="1">
      <alignment vertical="center"/>
    </xf>
    <xf numFmtId="0" fontId="38" fillId="29" borderId="0" xfId="49" applyFont="1" applyFill="1" applyAlignment="1">
      <alignment vertical="center"/>
    </xf>
    <xf numFmtId="0" fontId="24" fillId="26" borderId="0" xfId="0" applyFont="1" applyFill="1"/>
    <xf numFmtId="0" fontId="0" fillId="26" borderId="0" xfId="0" applyFill="1"/>
    <xf numFmtId="178" fontId="0" fillId="26" borderId="0" xfId="0" applyNumberFormat="1" applyFill="1"/>
    <xf numFmtId="3" fontId="24" fillId="26" borderId="12" xfId="0" applyNumberFormat="1" applyFont="1" applyFill="1" applyBorder="1" applyAlignment="1">
      <alignment horizontal="left" vertical="center" indent="1"/>
    </xf>
    <xf numFmtId="0" fontId="0" fillId="27" borderId="0" xfId="0" applyFill="1"/>
    <xf numFmtId="3" fontId="24" fillId="26" borderId="18" xfId="0" applyNumberFormat="1" applyFont="1" applyFill="1" applyBorder="1" applyAlignment="1">
      <alignment horizontal="left" vertical="center" indent="1"/>
    </xf>
    <xf numFmtId="173" fontId="24" fillId="0" borderId="10" xfId="51" applyNumberFormat="1" applyFont="1" applyBorder="1"/>
    <xf numFmtId="173" fontId="24" fillId="0" borderId="0" xfId="51" applyNumberFormat="1" applyFont="1" applyBorder="1"/>
    <xf numFmtId="173" fontId="24" fillId="0" borderId="11" xfId="51" applyNumberFormat="1" applyFont="1" applyBorder="1"/>
    <xf numFmtId="173" fontId="32" fillId="24" borderId="16" xfId="51" applyNumberFormat="1" applyFont="1" applyFill="1" applyBorder="1" applyAlignment="1">
      <alignment horizontal="right" vertical="center"/>
    </xf>
    <xf numFmtId="173" fontId="32" fillId="24" borderId="19" xfId="51" applyNumberFormat="1" applyFont="1" applyFill="1" applyBorder="1" applyAlignment="1">
      <alignment horizontal="right" vertical="center"/>
    </xf>
    <xf numFmtId="173" fontId="32" fillId="24" borderId="20" xfId="51" applyNumberFormat="1" applyFont="1" applyFill="1" applyBorder="1" applyAlignment="1">
      <alignment horizontal="right" vertical="center"/>
    </xf>
    <xf numFmtId="173" fontId="31" fillId="24" borderId="0" xfId="51" applyNumberFormat="1" applyFont="1" applyFill="1" applyBorder="1"/>
    <xf numFmtId="173" fontId="24" fillId="24" borderId="0" xfId="51" applyNumberFormat="1" applyFont="1" applyFill="1" applyBorder="1"/>
    <xf numFmtId="173" fontId="23" fillId="24" borderId="19" xfId="51" applyNumberFormat="1" applyFont="1" applyFill="1" applyBorder="1" applyAlignment="1">
      <alignment vertical="center"/>
    </xf>
    <xf numFmtId="173" fontId="32" fillId="24" borderId="19" xfId="51" applyNumberFormat="1" applyFont="1" applyFill="1" applyBorder="1" applyAlignment="1">
      <alignment vertical="center"/>
    </xf>
    <xf numFmtId="0" fontId="24" fillId="26" borderId="12" xfId="0" applyFont="1" applyFill="1" applyBorder="1" applyAlignment="1">
      <alignment horizontal="center" vertical="center"/>
    </xf>
    <xf numFmtId="0" fontId="27" fillId="25" borderId="35" xfId="0" applyFont="1" applyFill="1" applyBorder="1" applyAlignment="1">
      <alignment horizontal="center" vertical="center"/>
    </xf>
    <xf numFmtId="3" fontId="30" fillId="28" borderId="20" xfId="0" applyNumberFormat="1" applyFont="1" applyFill="1" applyBorder="1" applyAlignment="1">
      <alignment horizontal="center"/>
    </xf>
    <xf numFmtId="3" fontId="30" fillId="28" borderId="19" xfId="0" applyNumberFormat="1" applyFont="1" applyFill="1" applyBorder="1" applyAlignment="1">
      <alignment horizontal="center"/>
    </xf>
    <xf numFmtId="3" fontId="23" fillId="26" borderId="16" xfId="0" applyNumberFormat="1" applyFont="1" applyFill="1" applyBorder="1" applyAlignment="1">
      <alignment horizontal="center" vertical="center"/>
    </xf>
    <xf numFmtId="0" fontId="27" fillId="25" borderId="36" xfId="0" applyFont="1" applyFill="1" applyBorder="1" applyAlignment="1">
      <alignment horizontal="center" vertical="center"/>
    </xf>
    <xf numFmtId="3" fontId="23" fillId="26" borderId="20" xfId="0" applyNumberFormat="1" applyFont="1" applyFill="1" applyBorder="1" applyAlignment="1">
      <alignment horizontal="center" vertical="center"/>
    </xf>
    <xf numFmtId="3" fontId="23" fillId="26" borderId="19" xfId="0" applyNumberFormat="1" applyFont="1" applyFill="1" applyBorder="1" applyAlignment="1">
      <alignment horizontal="center" vertical="center"/>
    </xf>
    <xf numFmtId="3" fontId="28" fillId="28" borderId="19" xfId="51" applyNumberFormat="1" applyFont="1" applyFill="1" applyBorder="1" applyAlignment="1">
      <alignment horizontal="center" vertical="center"/>
    </xf>
    <xf numFmtId="3" fontId="28" fillId="28" borderId="20" xfId="51" applyNumberFormat="1" applyFont="1" applyFill="1" applyBorder="1" applyAlignment="1">
      <alignment horizontal="center" vertical="center"/>
    </xf>
    <xf numFmtId="3" fontId="28" fillId="28" borderId="24" xfId="51" applyNumberFormat="1" applyFont="1" applyFill="1" applyBorder="1" applyAlignment="1">
      <alignment horizontal="center" vertical="center"/>
    </xf>
    <xf numFmtId="3" fontId="30" fillId="28" borderId="24" xfId="51" applyNumberFormat="1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indent="1"/>
    </xf>
    <xf numFmtId="0" fontId="28" fillId="28" borderId="24" xfId="0" applyFont="1" applyFill="1" applyBorder="1"/>
    <xf numFmtId="0" fontId="24" fillId="29" borderId="24" xfId="0" applyFont="1" applyFill="1" applyBorder="1"/>
    <xf numFmtId="0" fontId="27" fillId="25" borderId="34" xfId="0" applyFont="1" applyFill="1" applyBorder="1" applyAlignment="1">
      <alignment horizontal="center" vertical="center"/>
    </xf>
    <xf numFmtId="172" fontId="29" fillId="25" borderId="33" xfId="0" applyNumberFormat="1" applyFont="1" applyFill="1" applyBorder="1" applyAlignment="1">
      <alignment horizontal="center" vertical="center"/>
    </xf>
    <xf numFmtId="165" fontId="24" fillId="26" borderId="12" xfId="33" applyNumberFormat="1" applyFont="1" applyFill="1" applyBorder="1" applyAlignment="1">
      <alignment horizontal="center" vertical="center"/>
    </xf>
    <xf numFmtId="165" fontId="31" fillId="26" borderId="12" xfId="33" applyNumberFormat="1" applyFont="1" applyFill="1" applyBorder="1" applyAlignment="1">
      <alignment horizontal="center" vertical="center"/>
    </xf>
    <xf numFmtId="165" fontId="24" fillId="0" borderId="0" xfId="33" applyNumberFormat="1" applyFont="1" applyAlignment="1">
      <alignment horizontal="center" vertical="center"/>
    </xf>
    <xf numFmtId="168" fontId="23" fillId="26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28" borderId="16" xfId="0" applyFont="1" applyFill="1" applyBorder="1" applyAlignment="1">
      <alignment horizontal="center" vertical="center"/>
    </xf>
    <xf numFmtId="0" fontId="28" fillId="26" borderId="24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3" fontId="24" fillId="34" borderId="10" xfId="0" applyNumberFormat="1" applyFont="1" applyFill="1" applyBorder="1" applyAlignment="1">
      <alignment horizontal="center" vertical="center"/>
    </xf>
    <xf numFmtId="3" fontId="24" fillId="34" borderId="0" xfId="0" applyNumberFormat="1" applyFont="1" applyFill="1" applyAlignment="1">
      <alignment horizontal="center" vertical="center"/>
    </xf>
    <xf numFmtId="3" fontId="24" fillId="34" borderId="11" xfId="0" applyNumberFormat="1" applyFont="1" applyFill="1" applyBorder="1" applyAlignment="1">
      <alignment horizontal="center" vertical="center"/>
    </xf>
    <xf numFmtId="3" fontId="30" fillId="34" borderId="16" xfId="0" applyNumberFormat="1" applyFont="1" applyFill="1" applyBorder="1" applyAlignment="1">
      <alignment horizontal="center" vertical="center"/>
    </xf>
    <xf numFmtId="3" fontId="30" fillId="34" borderId="19" xfId="0" applyNumberFormat="1" applyFont="1" applyFill="1" applyBorder="1" applyAlignment="1">
      <alignment horizontal="center" vertical="center"/>
    </xf>
    <xf numFmtId="3" fontId="30" fillId="34" borderId="20" xfId="0" applyNumberFormat="1" applyFont="1" applyFill="1" applyBorder="1" applyAlignment="1">
      <alignment horizontal="center" vertical="center"/>
    </xf>
    <xf numFmtId="3" fontId="24" fillId="34" borderId="23" xfId="0" applyNumberFormat="1" applyFont="1" applyFill="1" applyBorder="1" applyAlignment="1">
      <alignment horizontal="center" vertical="center"/>
    </xf>
    <xf numFmtId="3" fontId="24" fillId="34" borderId="21" xfId="0" applyNumberFormat="1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center"/>
    </xf>
    <xf numFmtId="3" fontId="31" fillId="34" borderId="0" xfId="0" applyNumberFormat="1" applyFont="1" applyFill="1" applyAlignment="1">
      <alignment horizontal="center"/>
    </xf>
    <xf numFmtId="3" fontId="31" fillId="34" borderId="35" xfId="0" applyNumberFormat="1" applyFont="1" applyFill="1" applyBorder="1" applyAlignment="1">
      <alignment horizontal="center"/>
    </xf>
    <xf numFmtId="3" fontId="31" fillId="34" borderId="11" xfId="0" applyNumberFormat="1" applyFont="1" applyFill="1" applyBorder="1" applyAlignment="1">
      <alignment horizontal="center"/>
    </xf>
    <xf numFmtId="3" fontId="24" fillId="34" borderId="0" xfId="0" applyNumberFormat="1" applyFont="1" applyFill="1" applyAlignment="1">
      <alignment horizontal="center"/>
    </xf>
    <xf numFmtId="3" fontId="24" fillId="34" borderId="11" xfId="0" applyNumberFormat="1" applyFont="1" applyFill="1" applyBorder="1" applyAlignment="1">
      <alignment horizontal="center"/>
    </xf>
    <xf numFmtId="3" fontId="24" fillId="0" borderId="36" xfId="0" applyNumberFormat="1" applyFont="1" applyBorder="1" applyAlignment="1">
      <alignment horizontal="center" vertical="center"/>
    </xf>
    <xf numFmtId="3" fontId="24" fillId="34" borderId="23" xfId="0" applyNumberFormat="1" applyFont="1" applyFill="1" applyBorder="1" applyAlignment="1">
      <alignment horizontal="center"/>
    </xf>
    <xf numFmtId="3" fontId="24" fillId="34" borderId="13" xfId="0" applyNumberFormat="1" applyFont="1" applyFill="1" applyBorder="1" applyAlignment="1">
      <alignment horizontal="center"/>
    </xf>
    <xf numFmtId="175" fontId="24" fillId="24" borderId="13" xfId="0" applyNumberFormat="1" applyFont="1" applyFill="1" applyBorder="1" applyAlignment="1">
      <alignment horizontal="center"/>
    </xf>
    <xf numFmtId="2" fontId="24" fillId="34" borderId="0" xfId="0" applyNumberFormat="1" applyFont="1" applyFill="1"/>
    <xf numFmtId="2" fontId="24" fillId="34" borderId="12" xfId="0" applyNumberFormat="1" applyFont="1" applyFill="1" applyBorder="1"/>
    <xf numFmtId="2" fontId="24" fillId="34" borderId="23" xfId="0" applyNumberFormat="1" applyFont="1" applyFill="1" applyBorder="1"/>
    <xf numFmtId="2" fontId="24" fillId="34" borderId="18" xfId="0" applyNumberFormat="1" applyFont="1" applyFill="1" applyBorder="1"/>
    <xf numFmtId="175" fontId="24" fillId="34" borderId="11" xfId="0" applyNumberFormat="1" applyFont="1" applyFill="1" applyBorder="1" applyAlignment="1">
      <alignment horizontal="center"/>
    </xf>
    <xf numFmtId="175" fontId="24" fillId="34" borderId="0" xfId="0" applyNumberFormat="1" applyFont="1" applyFill="1" applyAlignment="1">
      <alignment horizontal="center"/>
    </xf>
    <xf numFmtId="175" fontId="23" fillId="24" borderId="16" xfId="0" applyNumberFormat="1" applyFont="1" applyFill="1" applyBorder="1" applyAlignment="1">
      <alignment horizontal="center" vertical="center"/>
    </xf>
    <xf numFmtId="175" fontId="24" fillId="34" borderId="35" xfId="0" applyNumberFormat="1" applyFont="1" applyFill="1" applyBorder="1" applyAlignment="1">
      <alignment horizontal="center"/>
    </xf>
    <xf numFmtId="175" fontId="23" fillId="24" borderId="19" xfId="0" applyNumberFormat="1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left"/>
    </xf>
    <xf numFmtId="172" fontId="26" fillId="25" borderId="23" xfId="0" applyNumberFormat="1" applyFont="1" applyFill="1" applyBorder="1" applyAlignment="1">
      <alignment horizontal="center"/>
    </xf>
    <xf numFmtId="0" fontId="24" fillId="34" borderId="12" xfId="0" applyFont="1" applyFill="1" applyBorder="1" applyAlignment="1">
      <alignment horizontal="left"/>
    </xf>
    <xf numFmtId="0" fontId="24" fillId="34" borderId="12" xfId="0" applyFont="1" applyFill="1" applyBorder="1" applyAlignment="1">
      <alignment horizontal="left" indent="1"/>
    </xf>
    <xf numFmtId="0" fontId="24" fillId="34" borderId="18" xfId="0" applyFont="1" applyFill="1" applyBorder="1" applyAlignment="1">
      <alignment horizontal="left" indent="1"/>
    </xf>
    <xf numFmtId="3" fontId="24" fillId="34" borderId="34" xfId="0" applyNumberFormat="1" applyFont="1" applyFill="1" applyBorder="1" applyAlignment="1">
      <alignment horizontal="center"/>
    </xf>
    <xf numFmtId="3" fontId="24" fillId="34" borderId="35" xfId="0" applyNumberFormat="1" applyFont="1" applyFill="1" applyBorder="1" applyAlignment="1">
      <alignment horizontal="center"/>
    </xf>
    <xf numFmtId="3" fontId="24" fillId="34" borderId="36" xfId="0" applyNumberFormat="1" applyFont="1" applyFill="1" applyBorder="1" applyAlignment="1">
      <alignment horizontal="center"/>
    </xf>
    <xf numFmtId="3" fontId="24" fillId="34" borderId="10" xfId="0" applyNumberFormat="1" applyFont="1" applyFill="1" applyBorder="1" applyAlignment="1">
      <alignment horizontal="center"/>
    </xf>
    <xf numFmtId="3" fontId="23" fillId="34" borderId="16" xfId="0" applyNumberFormat="1" applyFont="1" applyFill="1" applyBorder="1" applyAlignment="1">
      <alignment horizontal="center" vertical="center"/>
    </xf>
    <xf numFmtId="3" fontId="23" fillId="34" borderId="19" xfId="0" applyNumberFormat="1" applyFont="1" applyFill="1" applyBorder="1" applyAlignment="1">
      <alignment horizontal="center" vertical="center"/>
    </xf>
    <xf numFmtId="3" fontId="23" fillId="34" borderId="20" xfId="0" applyNumberFormat="1" applyFont="1" applyFill="1" applyBorder="1" applyAlignment="1">
      <alignment horizontal="center" vertical="center"/>
    </xf>
    <xf numFmtId="3" fontId="31" fillId="24" borderId="17" xfId="0" applyNumberFormat="1" applyFont="1" applyFill="1" applyBorder="1" applyAlignment="1">
      <alignment horizontal="center" vertical="center"/>
    </xf>
    <xf numFmtId="3" fontId="31" fillId="24" borderId="11" xfId="0" applyNumberFormat="1" applyFont="1" applyFill="1" applyBorder="1" applyAlignment="1">
      <alignment horizontal="center"/>
    </xf>
    <xf numFmtId="0" fontId="31" fillId="26" borderId="0" xfId="0" applyFont="1" applyFill="1"/>
    <xf numFmtId="3" fontId="30" fillId="28" borderId="16" xfId="0" applyNumberFormat="1" applyFont="1" applyFill="1" applyBorder="1" applyAlignment="1">
      <alignment horizontal="center"/>
    </xf>
    <xf numFmtId="3" fontId="24" fillId="0" borderId="10" xfId="0" applyNumberFormat="1" applyFont="1" applyBorder="1" applyAlignment="1">
      <alignment horizontal="center" wrapText="1"/>
    </xf>
    <xf numFmtId="3" fontId="24" fillId="0" borderId="11" xfId="0" applyNumberFormat="1" applyFont="1" applyBorder="1" applyAlignment="1">
      <alignment horizontal="center" wrapText="1"/>
    </xf>
    <xf numFmtId="3" fontId="24" fillId="0" borderId="0" xfId="0" applyNumberFormat="1" applyFont="1" applyAlignment="1">
      <alignment horizontal="center" wrapText="1"/>
    </xf>
    <xf numFmtId="0" fontId="31" fillId="26" borderId="12" xfId="0" applyFont="1" applyFill="1" applyBorder="1" applyAlignment="1">
      <alignment horizontal="left"/>
    </xf>
    <xf numFmtId="3" fontId="31" fillId="0" borderId="10" xfId="0" applyNumberFormat="1" applyFont="1" applyBorder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3" fontId="31" fillId="0" borderId="11" xfId="0" applyNumberFormat="1" applyFont="1" applyBorder="1" applyAlignment="1">
      <alignment horizontal="center" wrapText="1"/>
    </xf>
    <xf numFmtId="3" fontId="31" fillId="24" borderId="12" xfId="0" applyNumberFormat="1" applyFont="1" applyFill="1" applyBorder="1" applyAlignment="1">
      <alignment horizontal="center" wrapText="1"/>
    </xf>
    <xf numFmtId="169" fontId="24" fillId="0" borderId="0" xfId="0" applyNumberFormat="1" applyFont="1" applyAlignment="1">
      <alignment horizontal="center" vertical="center"/>
    </xf>
    <xf numFmtId="169" fontId="43" fillId="0" borderId="0" xfId="0" applyNumberFormat="1" applyFont="1" applyAlignment="1">
      <alignment horizontal="center" vertical="center"/>
    </xf>
    <xf numFmtId="0" fontId="31" fillId="26" borderId="12" xfId="0" applyFont="1" applyFill="1" applyBorder="1" applyAlignment="1">
      <alignment horizontal="center" vertical="center" wrapText="1"/>
    </xf>
    <xf numFmtId="3" fontId="31" fillId="24" borderId="11" xfId="0" applyNumberFormat="1" applyFont="1" applyFill="1" applyBorder="1" applyAlignment="1">
      <alignment horizontal="center" vertical="center"/>
    </xf>
    <xf numFmtId="3" fontId="31" fillId="32" borderId="12" xfId="0" applyNumberFormat="1" applyFont="1" applyFill="1" applyBorder="1" applyAlignment="1">
      <alignment horizontal="center" vertical="center" wrapText="1"/>
    </xf>
    <xf numFmtId="0" fontId="31" fillId="27" borderId="10" xfId="0" applyFont="1" applyFill="1" applyBorder="1" applyAlignment="1">
      <alignment horizontal="left" vertical="center" indent="1"/>
    </xf>
    <xf numFmtId="0" fontId="31" fillId="27" borderId="12" xfId="0" applyFont="1" applyFill="1" applyBorder="1" applyAlignment="1">
      <alignment horizontal="center" vertical="center" wrapText="1"/>
    </xf>
    <xf numFmtId="3" fontId="24" fillId="34" borderId="22" xfId="0" applyNumberFormat="1" applyFont="1" applyFill="1" applyBorder="1" applyAlignment="1">
      <alignment horizontal="center" vertical="center"/>
    </xf>
    <xf numFmtId="3" fontId="31" fillId="34" borderId="0" xfId="0" applyNumberFormat="1" applyFont="1" applyFill="1" applyAlignment="1">
      <alignment horizontal="center" vertical="center"/>
    </xf>
    <xf numFmtId="3" fontId="31" fillId="34" borderId="11" xfId="0" applyNumberFormat="1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0" fontId="25" fillId="25" borderId="35" xfId="0" applyFont="1" applyFill="1" applyBorder="1" applyAlignment="1">
      <alignment horizontal="center" vertical="center" wrapText="1"/>
    </xf>
    <xf numFmtId="175" fontId="30" fillId="28" borderId="16" xfId="0" applyNumberFormat="1" applyFont="1" applyFill="1" applyBorder="1" applyAlignment="1">
      <alignment horizontal="center"/>
    </xf>
    <xf numFmtId="175" fontId="30" fillId="28" borderId="19" xfId="0" applyNumberFormat="1" applyFont="1" applyFill="1" applyBorder="1" applyAlignment="1">
      <alignment horizontal="center"/>
    </xf>
    <xf numFmtId="175" fontId="30" fillId="28" borderId="20" xfId="0" applyNumberFormat="1" applyFont="1" applyFill="1" applyBorder="1" applyAlignment="1">
      <alignment horizontal="center"/>
    </xf>
    <xf numFmtId="175" fontId="30" fillId="28" borderId="24" xfId="0" applyNumberFormat="1" applyFont="1" applyFill="1" applyBorder="1" applyAlignment="1">
      <alignment horizontal="center"/>
    </xf>
    <xf numFmtId="0" fontId="31" fillId="0" borderId="12" xfId="0" applyFont="1" applyBorder="1"/>
    <xf numFmtId="3" fontId="31" fillId="26" borderId="12" xfId="0" applyNumberFormat="1" applyFont="1" applyFill="1" applyBorder="1" applyAlignment="1">
      <alignment horizontal="center" vertical="center"/>
    </xf>
    <xf numFmtId="3" fontId="31" fillId="24" borderId="12" xfId="0" applyNumberFormat="1" applyFont="1" applyFill="1" applyBorder="1" applyAlignment="1">
      <alignment horizontal="center" vertical="center"/>
    </xf>
    <xf numFmtId="3" fontId="31" fillId="32" borderId="12" xfId="0" applyNumberFormat="1" applyFont="1" applyFill="1" applyBorder="1" applyAlignment="1">
      <alignment horizontal="center"/>
    </xf>
    <xf numFmtId="175" fontId="31" fillId="24" borderId="12" xfId="0" applyNumberFormat="1" applyFont="1" applyFill="1" applyBorder="1" applyAlignment="1">
      <alignment horizontal="center" vertical="center"/>
    </xf>
    <xf numFmtId="0" fontId="45" fillId="0" borderId="0" xfId="0" applyFont="1"/>
    <xf numFmtId="4" fontId="23" fillId="24" borderId="16" xfId="0" applyNumberFormat="1" applyFont="1" applyFill="1" applyBorder="1" applyAlignment="1">
      <alignment horizontal="center" vertical="center" wrapText="1"/>
    </xf>
    <xf numFmtId="10" fontId="23" fillId="24" borderId="19" xfId="37" applyNumberFormat="1" applyFont="1" applyFill="1" applyBorder="1" applyAlignment="1">
      <alignment horizontal="center" vertical="center"/>
    </xf>
    <xf numFmtId="4" fontId="23" fillId="24" borderId="20" xfId="0" applyNumberFormat="1" applyFont="1" applyFill="1" applyBorder="1" applyAlignment="1">
      <alignment horizontal="center" vertical="center"/>
    </xf>
    <xf numFmtId="4" fontId="30" fillId="28" borderId="16" xfId="0" applyNumberFormat="1" applyFont="1" applyFill="1" applyBorder="1" applyAlignment="1">
      <alignment horizontal="center" vertical="center"/>
    </xf>
    <xf numFmtId="10" fontId="30" fillId="28" borderId="19" xfId="0" applyNumberFormat="1" applyFont="1" applyFill="1" applyBorder="1" applyAlignment="1">
      <alignment horizontal="center" vertical="center"/>
    </xf>
    <xf numFmtId="4" fontId="30" fillId="28" borderId="20" xfId="0" applyNumberFormat="1" applyFont="1" applyFill="1" applyBorder="1" applyAlignment="1">
      <alignment horizontal="center" vertical="center"/>
    </xf>
    <xf numFmtId="4" fontId="24" fillId="34" borderId="0" xfId="0" applyNumberFormat="1" applyFont="1" applyFill="1" applyAlignment="1">
      <alignment horizontal="center" vertical="center"/>
    </xf>
    <xf numFmtId="10" fontId="24" fillId="34" borderId="0" xfId="0" applyNumberFormat="1" applyFont="1" applyFill="1" applyAlignment="1">
      <alignment horizontal="center" vertical="center"/>
    </xf>
    <xf numFmtId="4" fontId="28" fillId="34" borderId="16" xfId="0" applyNumberFormat="1" applyFont="1" applyFill="1" applyBorder="1" applyAlignment="1">
      <alignment horizontal="center" vertical="center"/>
    </xf>
    <xf numFmtId="10" fontId="28" fillId="34" borderId="19" xfId="0" applyNumberFormat="1" applyFont="1" applyFill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  <xf numFmtId="4" fontId="28" fillId="28" borderId="20" xfId="0" applyNumberFormat="1" applyFont="1" applyFill="1" applyBorder="1" applyAlignment="1">
      <alignment horizontal="center" vertical="center"/>
    </xf>
    <xf numFmtId="175" fontId="24" fillId="34" borderId="10" xfId="0" applyNumberFormat="1" applyFont="1" applyFill="1" applyBorder="1" applyAlignment="1">
      <alignment horizontal="center" vertical="center"/>
    </xf>
    <xf numFmtId="175" fontId="24" fillId="34" borderId="0" xfId="0" applyNumberFormat="1" applyFont="1" applyFill="1" applyAlignment="1">
      <alignment horizontal="center" vertical="center"/>
    </xf>
    <xf numFmtId="175" fontId="24" fillId="34" borderId="11" xfId="0" applyNumberFormat="1" applyFont="1" applyFill="1" applyBorder="1" applyAlignment="1">
      <alignment horizontal="center" vertical="center"/>
    </xf>
    <xf numFmtId="175" fontId="31" fillId="34" borderId="10" xfId="0" applyNumberFormat="1" applyFont="1" applyFill="1" applyBorder="1" applyAlignment="1">
      <alignment horizontal="center" vertical="center"/>
    </xf>
    <xf numFmtId="175" fontId="31" fillId="34" borderId="0" xfId="0" applyNumberFormat="1" applyFont="1" applyFill="1" applyAlignment="1">
      <alignment horizontal="center" vertical="center"/>
    </xf>
    <xf numFmtId="175" fontId="31" fillId="34" borderId="11" xfId="0" applyNumberFormat="1" applyFont="1" applyFill="1" applyBorder="1" applyAlignment="1">
      <alignment horizontal="center" vertical="center"/>
    </xf>
    <xf numFmtId="175" fontId="30" fillId="34" borderId="16" xfId="0" applyNumberFormat="1" applyFont="1" applyFill="1" applyBorder="1" applyAlignment="1">
      <alignment horizontal="center"/>
    </xf>
    <xf numFmtId="175" fontId="30" fillId="34" borderId="19" xfId="0" applyNumberFormat="1" applyFont="1" applyFill="1" applyBorder="1" applyAlignment="1">
      <alignment horizontal="center"/>
    </xf>
    <xf numFmtId="175" fontId="30" fillId="34" borderId="20" xfId="0" applyNumberFormat="1" applyFont="1" applyFill="1" applyBorder="1" applyAlignment="1">
      <alignment horizontal="center"/>
    </xf>
    <xf numFmtId="3" fontId="30" fillId="34" borderId="16" xfId="0" applyNumberFormat="1" applyFont="1" applyFill="1" applyBorder="1" applyAlignment="1">
      <alignment horizontal="center"/>
    </xf>
    <xf numFmtId="3" fontId="30" fillId="34" borderId="19" xfId="0" applyNumberFormat="1" applyFont="1" applyFill="1" applyBorder="1" applyAlignment="1">
      <alignment horizontal="center"/>
    </xf>
    <xf numFmtId="3" fontId="30" fillId="34" borderId="20" xfId="0" applyNumberFormat="1" applyFont="1" applyFill="1" applyBorder="1" applyAlignment="1">
      <alignment horizontal="center"/>
    </xf>
    <xf numFmtId="3" fontId="31" fillId="34" borderId="10" xfId="0" applyNumberFormat="1" applyFont="1" applyFill="1" applyBorder="1" applyAlignment="1">
      <alignment horizontal="center" vertical="center"/>
    </xf>
    <xf numFmtId="164" fontId="28" fillId="28" borderId="24" xfId="33" applyNumberFormat="1" applyFont="1" applyFill="1" applyBorder="1" applyAlignment="1">
      <alignment horizontal="center" vertical="center" wrapText="1"/>
    </xf>
    <xf numFmtId="164" fontId="24" fillId="26" borderId="12" xfId="0" applyNumberFormat="1" applyFont="1" applyFill="1" applyBorder="1" applyAlignment="1">
      <alignment horizontal="center" vertical="center"/>
    </xf>
    <xf numFmtId="164" fontId="31" fillId="26" borderId="12" xfId="0" applyNumberFormat="1" applyFont="1" applyFill="1" applyBorder="1" applyAlignment="1">
      <alignment horizontal="center" vertical="center"/>
    </xf>
    <xf numFmtId="164" fontId="23" fillId="24" borderId="24" xfId="0" applyNumberFormat="1" applyFont="1" applyFill="1" applyBorder="1" applyAlignment="1">
      <alignment horizontal="center" vertical="center"/>
    </xf>
    <xf numFmtId="0" fontId="33" fillId="34" borderId="12" xfId="49" applyFont="1" applyFill="1" applyBorder="1" applyAlignment="1">
      <alignment horizontal="left" vertical="center" indent="1"/>
    </xf>
    <xf numFmtId="0" fontId="35" fillId="24" borderId="24" xfId="49" applyFont="1" applyFill="1" applyBorder="1" applyAlignment="1">
      <alignment vertical="center" wrapText="1"/>
    </xf>
    <xf numFmtId="3" fontId="35" fillId="24" borderId="16" xfId="49" applyNumberFormat="1" applyFont="1" applyFill="1" applyBorder="1" applyAlignment="1">
      <alignment horizontal="center" vertical="center" wrapText="1"/>
    </xf>
    <xf numFmtId="3" fontId="35" fillId="24" borderId="24" xfId="49" applyNumberFormat="1" applyFont="1" applyFill="1" applyBorder="1" applyAlignment="1">
      <alignment horizontal="center" vertical="center" wrapText="1"/>
    </xf>
    <xf numFmtId="3" fontId="35" fillId="35" borderId="16" xfId="49" applyNumberFormat="1" applyFont="1" applyFill="1" applyBorder="1" applyAlignment="1">
      <alignment horizontal="center" vertical="center" wrapText="1"/>
    </xf>
    <xf numFmtId="3" fontId="35" fillId="35" borderId="24" xfId="49" applyNumberFormat="1" applyFont="1" applyFill="1" applyBorder="1" applyAlignment="1">
      <alignment horizontal="center" vertical="center" wrapText="1"/>
    </xf>
    <xf numFmtId="3" fontId="33" fillId="34" borderId="10" xfId="49" applyNumberFormat="1" applyFont="1" applyFill="1" applyBorder="1" applyAlignment="1">
      <alignment horizontal="center" vertical="center" wrapText="1"/>
    </xf>
    <xf numFmtId="14" fontId="33" fillId="34" borderId="10" xfId="49" applyNumberFormat="1" applyFont="1" applyFill="1" applyBorder="1" applyAlignment="1">
      <alignment horizontal="center" vertical="center" wrapText="1"/>
    </xf>
    <xf numFmtId="3" fontId="33" fillId="34" borderId="12" xfId="49" applyNumberFormat="1" applyFont="1" applyFill="1" applyBorder="1" applyAlignment="1">
      <alignment horizontal="center" vertical="center" wrapText="1"/>
    </xf>
    <xf numFmtId="0" fontId="33" fillId="0" borderId="12" xfId="49" applyFont="1" applyBorder="1" applyAlignment="1">
      <alignment horizontal="left" vertical="center" indent="1"/>
    </xf>
    <xf numFmtId="3" fontId="33" fillId="34" borderId="21" xfId="49" applyNumberFormat="1" applyFont="1" applyFill="1" applyBorder="1" applyAlignment="1">
      <alignment horizontal="center" vertical="center" wrapText="1"/>
    </xf>
    <xf numFmtId="3" fontId="33" fillId="34" borderId="11" xfId="49" applyNumberFormat="1" applyFont="1" applyFill="1" applyBorder="1" applyAlignment="1">
      <alignment horizontal="center" vertical="center" wrapText="1"/>
    </xf>
    <xf numFmtId="3" fontId="33" fillId="34" borderId="0" xfId="49" applyNumberFormat="1" applyFont="1" applyFill="1" applyAlignment="1">
      <alignment horizontal="center" vertical="center" wrapText="1"/>
    </xf>
    <xf numFmtId="0" fontId="33" fillId="34" borderId="0" xfId="49" applyFont="1" applyFill="1" applyAlignment="1">
      <alignment wrapText="1"/>
    </xf>
    <xf numFmtId="0" fontId="33" fillId="34" borderId="11" xfId="49" applyFont="1" applyFill="1" applyBorder="1" applyAlignment="1">
      <alignment wrapText="1"/>
    </xf>
    <xf numFmtId="0" fontId="35" fillId="24" borderId="24" xfId="49" applyFont="1" applyFill="1" applyBorder="1" applyAlignment="1">
      <alignment horizontal="left" vertical="center" wrapText="1" indent="1"/>
    </xf>
    <xf numFmtId="3" fontId="35" fillId="24" borderId="19" xfId="49" applyNumberFormat="1" applyFont="1" applyFill="1" applyBorder="1" applyAlignment="1">
      <alignment horizontal="center" vertical="center" wrapText="1"/>
    </xf>
    <xf numFmtId="3" fontId="35" fillId="24" borderId="20" xfId="49" applyNumberFormat="1" applyFont="1" applyFill="1" applyBorder="1" applyAlignment="1">
      <alignment horizontal="center" vertical="center" wrapText="1"/>
    </xf>
    <xf numFmtId="3" fontId="24" fillId="34" borderId="14" xfId="0" applyNumberFormat="1" applyFont="1" applyFill="1" applyBorder="1" applyAlignment="1">
      <alignment horizontal="center" vertical="center"/>
    </xf>
    <xf numFmtId="3" fontId="31" fillId="34" borderId="21" xfId="0" applyNumberFormat="1" applyFont="1" applyFill="1" applyBorder="1" applyAlignment="1">
      <alignment horizontal="center" vertical="center"/>
    </xf>
    <xf numFmtId="3" fontId="31" fillId="34" borderId="22" xfId="0" applyNumberFormat="1" applyFont="1" applyFill="1" applyBorder="1" applyAlignment="1">
      <alignment horizontal="center" vertical="center"/>
    </xf>
    <xf numFmtId="3" fontId="24" fillId="34" borderId="33" xfId="0" applyNumberFormat="1" applyFont="1" applyFill="1" applyBorder="1" applyAlignment="1">
      <alignment horizontal="center" vertical="center"/>
    </xf>
    <xf numFmtId="3" fontId="31" fillId="34" borderId="23" xfId="0" applyNumberFormat="1" applyFont="1" applyFill="1" applyBorder="1" applyAlignment="1">
      <alignment horizontal="center" vertical="center"/>
    </xf>
    <xf numFmtId="3" fontId="31" fillId="34" borderId="13" xfId="0" applyNumberFormat="1" applyFont="1" applyFill="1" applyBorder="1" applyAlignment="1">
      <alignment horizontal="center" vertical="center"/>
    </xf>
    <xf numFmtId="173" fontId="24" fillId="24" borderId="21" xfId="51" applyNumberFormat="1" applyFont="1" applyFill="1" applyBorder="1" applyAlignment="1">
      <alignment horizontal="right" vertical="center" indent="1"/>
    </xf>
    <xf numFmtId="173" fontId="24" fillId="24" borderId="17" xfId="51" applyNumberFormat="1" applyFont="1" applyFill="1" applyBorder="1" applyAlignment="1">
      <alignment horizontal="right" vertical="center"/>
    </xf>
    <xf numFmtId="173" fontId="24" fillId="24" borderId="12" xfId="51" applyNumberFormat="1" applyFont="1" applyFill="1" applyBorder="1" applyAlignment="1">
      <alignment horizontal="right"/>
    </xf>
    <xf numFmtId="173" fontId="32" fillId="24" borderId="24" xfId="51" applyNumberFormat="1" applyFont="1" applyFill="1" applyBorder="1" applyAlignment="1">
      <alignment horizontal="right" vertical="center"/>
    </xf>
    <xf numFmtId="173" fontId="28" fillId="28" borderId="19" xfId="51" applyNumberFormat="1" applyFont="1" applyFill="1" applyBorder="1"/>
    <xf numFmtId="173" fontId="28" fillId="28" borderId="24" xfId="51" applyNumberFormat="1" applyFont="1" applyFill="1" applyBorder="1" applyAlignment="1">
      <alignment horizontal="right"/>
    </xf>
    <xf numFmtId="0" fontId="32" fillId="24" borderId="34" xfId="0" applyFont="1" applyFill="1" applyBorder="1" applyAlignment="1">
      <alignment horizontal="left" vertical="center"/>
    </xf>
    <xf numFmtId="0" fontId="32" fillId="24" borderId="17" xfId="0" applyFont="1" applyFill="1" applyBorder="1" applyAlignment="1">
      <alignment horizontal="left" vertical="center" wrapText="1"/>
    </xf>
    <xf numFmtId="173" fontId="32" fillId="24" borderId="34" xfId="51" applyNumberFormat="1" applyFont="1" applyFill="1" applyBorder="1" applyAlignment="1">
      <alignment horizontal="right" vertical="center"/>
    </xf>
    <xf numFmtId="173" fontId="32" fillId="24" borderId="35" xfId="51" applyNumberFormat="1" applyFont="1" applyFill="1" applyBorder="1" applyAlignment="1">
      <alignment horizontal="right" vertical="center"/>
    </xf>
    <xf numFmtId="173" fontId="32" fillId="24" borderId="36" xfId="51" applyNumberFormat="1" applyFont="1" applyFill="1" applyBorder="1" applyAlignment="1">
      <alignment horizontal="right" vertical="center"/>
    </xf>
    <xf numFmtId="173" fontId="23" fillId="24" borderId="34" xfId="51" applyNumberFormat="1" applyFont="1" applyFill="1" applyBorder="1" applyAlignment="1">
      <alignment horizontal="right" vertical="center" indent="1"/>
    </xf>
    <xf numFmtId="173" fontId="23" fillId="24" borderId="17" xfId="51" applyNumberFormat="1" applyFont="1" applyFill="1" applyBorder="1" applyAlignment="1">
      <alignment horizontal="right" vertical="center"/>
    </xf>
    <xf numFmtId="0" fontId="30" fillId="28" borderId="24" xfId="0" applyFont="1" applyFill="1" applyBorder="1"/>
    <xf numFmtId="173" fontId="28" fillId="28" borderId="16" xfId="51" applyNumberFormat="1" applyFont="1" applyFill="1" applyBorder="1"/>
    <xf numFmtId="173" fontId="28" fillId="28" borderId="20" xfId="51" applyNumberFormat="1" applyFont="1" applyFill="1" applyBorder="1"/>
    <xf numFmtId="173" fontId="28" fillId="34" borderId="16" xfId="51" applyNumberFormat="1" applyFont="1" applyFill="1" applyBorder="1"/>
    <xf numFmtId="173" fontId="28" fillId="34" borderId="19" xfId="51" applyNumberFormat="1" applyFont="1" applyFill="1" applyBorder="1"/>
    <xf numFmtId="173" fontId="28" fillId="34" borderId="20" xfId="51" applyNumberFormat="1" applyFont="1" applyFill="1" applyBorder="1"/>
    <xf numFmtId="173" fontId="24" fillId="34" borderId="10" xfId="51" applyNumberFormat="1" applyFont="1" applyFill="1" applyBorder="1"/>
    <xf numFmtId="173" fontId="24" fillId="34" borderId="0" xfId="51" applyNumberFormat="1" applyFont="1" applyFill="1" applyBorder="1"/>
    <xf numFmtId="173" fontId="24" fillId="34" borderId="11" xfId="51" applyNumberFormat="1" applyFont="1" applyFill="1" applyBorder="1"/>
    <xf numFmtId="173" fontId="31" fillId="34" borderId="10" xfId="51" applyNumberFormat="1" applyFont="1" applyFill="1" applyBorder="1"/>
    <xf numFmtId="173" fontId="31" fillId="34" borderId="0" xfId="51" applyNumberFormat="1" applyFont="1" applyFill="1" applyBorder="1"/>
    <xf numFmtId="173" fontId="31" fillId="34" borderId="11" xfId="51" applyNumberFormat="1" applyFont="1" applyFill="1" applyBorder="1"/>
    <xf numFmtId="4" fontId="24" fillId="0" borderId="21" xfId="0" applyNumberFormat="1" applyFont="1" applyBorder="1" applyAlignment="1">
      <alignment horizontal="center" vertical="center"/>
    </xf>
    <xf numFmtId="4" fontId="24" fillId="0" borderId="36" xfId="0" applyNumberFormat="1" applyFont="1" applyBorder="1" applyAlignment="1">
      <alignment horizontal="center" vertical="center"/>
    </xf>
    <xf numFmtId="4" fontId="24" fillId="24" borderId="17" xfId="0" applyNumberFormat="1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24" fillId="24" borderId="12" xfId="0" applyNumberFormat="1" applyFont="1" applyFill="1" applyBorder="1" applyAlignment="1">
      <alignment horizontal="center" vertical="center"/>
    </xf>
    <xf numFmtId="4" fontId="24" fillId="0" borderId="23" xfId="0" applyNumberFormat="1" applyFont="1" applyBorder="1" applyAlignment="1">
      <alignment horizontal="center" vertical="center"/>
    </xf>
    <xf numFmtId="4" fontId="24" fillId="0" borderId="13" xfId="0" applyNumberFormat="1" applyFont="1" applyBorder="1" applyAlignment="1">
      <alignment horizontal="center" vertical="center"/>
    </xf>
    <xf numFmtId="4" fontId="24" fillId="24" borderId="18" xfId="0" applyNumberFormat="1" applyFont="1" applyFill="1" applyBorder="1" applyAlignment="1">
      <alignment horizontal="center" vertical="center"/>
    </xf>
    <xf numFmtId="0" fontId="43" fillId="36" borderId="0" xfId="0" applyFont="1" applyFill="1" applyAlignment="1">
      <alignment horizontal="center" vertical="center" wrapText="1"/>
    </xf>
    <xf numFmtId="1" fontId="43" fillId="36" borderId="0" xfId="0" applyNumberFormat="1" applyFont="1" applyFill="1" applyAlignment="1">
      <alignment horizontal="center" vertical="center"/>
    </xf>
    <xf numFmtId="4" fontId="24" fillId="0" borderId="33" xfId="0" applyNumberFormat="1" applyFont="1" applyBorder="1" applyAlignment="1">
      <alignment horizontal="center" vertical="center"/>
    </xf>
    <xf numFmtId="0" fontId="9" fillId="0" borderId="0" xfId="49"/>
    <xf numFmtId="0" fontId="48" fillId="0" borderId="16" xfId="49" applyFont="1" applyBorder="1"/>
    <xf numFmtId="49" fontId="48" fillId="0" borderId="0" xfId="49" applyNumberFormat="1" applyFont="1" applyAlignment="1">
      <alignment horizontal="left" vertical="center"/>
    </xf>
    <xf numFmtId="0" fontId="48" fillId="0" borderId="0" xfId="49" applyFont="1"/>
    <xf numFmtId="0" fontId="33" fillId="0" borderId="0" xfId="49" applyFont="1" applyAlignment="1">
      <alignment wrapText="1"/>
    </xf>
    <xf numFmtId="3" fontId="24" fillId="34" borderId="35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175" fontId="24" fillId="0" borderId="12" xfId="0" applyNumberFormat="1" applyFont="1" applyBorder="1" applyAlignment="1">
      <alignment horizontal="center"/>
    </xf>
    <xf numFmtId="3" fontId="24" fillId="0" borderId="12" xfId="0" applyNumberFormat="1" applyFont="1" applyBorder="1" applyAlignment="1">
      <alignment horizontal="center"/>
    </xf>
    <xf numFmtId="3" fontId="31" fillId="0" borderId="12" xfId="0" applyNumberFormat="1" applyFont="1" applyBorder="1" applyAlignment="1">
      <alignment horizontal="center"/>
    </xf>
    <xf numFmtId="3" fontId="24" fillId="0" borderId="12" xfId="0" applyNumberFormat="1" applyFont="1" applyBorder="1" applyAlignment="1">
      <alignment horizontal="center" wrapText="1"/>
    </xf>
    <xf numFmtId="3" fontId="31" fillId="0" borderId="12" xfId="0" applyNumberFormat="1" applyFont="1" applyBorder="1" applyAlignment="1">
      <alignment horizontal="center" wrapText="1"/>
    </xf>
    <xf numFmtId="3" fontId="31" fillId="0" borderId="12" xfId="0" applyNumberFormat="1" applyFont="1" applyBorder="1" applyAlignment="1">
      <alignment horizontal="center" vertical="center"/>
    </xf>
    <xf numFmtId="3" fontId="24" fillId="34" borderId="34" xfId="0" applyNumberFormat="1" applyFont="1" applyFill="1" applyBorder="1" applyAlignment="1">
      <alignment horizontal="center" vertical="center"/>
    </xf>
    <xf numFmtId="3" fontId="24" fillId="34" borderId="36" xfId="0" applyNumberFormat="1" applyFont="1" applyFill="1" applyBorder="1" applyAlignment="1">
      <alignment horizontal="center" vertical="center"/>
    </xf>
    <xf numFmtId="3" fontId="24" fillId="34" borderId="13" xfId="0" applyNumberFormat="1" applyFont="1" applyFill="1" applyBorder="1" applyAlignment="1">
      <alignment horizontal="center" vertical="center"/>
    </xf>
    <xf numFmtId="3" fontId="24" fillId="32" borderId="24" xfId="0" applyNumberFormat="1" applyFont="1" applyFill="1" applyBorder="1" applyAlignment="1">
      <alignment horizontal="center" vertical="center"/>
    </xf>
    <xf numFmtId="3" fontId="24" fillId="32" borderId="17" xfId="0" applyNumberFormat="1" applyFont="1" applyFill="1" applyBorder="1" applyAlignment="1">
      <alignment horizontal="center" vertical="center"/>
    </xf>
    <xf numFmtId="3" fontId="24" fillId="32" borderId="18" xfId="0" applyNumberFormat="1" applyFont="1" applyFill="1" applyBorder="1" applyAlignment="1">
      <alignment horizontal="center" vertical="center"/>
    </xf>
    <xf numFmtId="3" fontId="24" fillId="32" borderId="24" xfId="0" applyNumberFormat="1" applyFont="1" applyFill="1" applyBorder="1" applyAlignment="1">
      <alignment horizontal="center" vertical="center" wrapText="1"/>
    </xf>
    <xf numFmtId="165" fontId="24" fillId="26" borderId="18" xfId="33" applyNumberFormat="1" applyFont="1" applyFill="1" applyBorder="1" applyAlignment="1">
      <alignment horizontal="center" vertical="center"/>
    </xf>
    <xf numFmtId="0" fontId="33" fillId="37" borderId="12" xfId="49" applyFont="1" applyFill="1" applyBorder="1" applyAlignment="1">
      <alignment horizontal="left" vertical="center" indent="1"/>
    </xf>
    <xf numFmtId="3" fontId="33" fillId="37" borderId="10" xfId="49" applyNumberFormat="1" applyFont="1" applyFill="1" applyBorder="1" applyAlignment="1">
      <alignment horizontal="center" vertical="center" wrapText="1"/>
    </xf>
    <xf numFmtId="14" fontId="33" fillId="37" borderId="10" xfId="49" applyNumberFormat="1" applyFont="1" applyFill="1" applyBorder="1" applyAlignment="1">
      <alignment horizontal="center" vertical="center" wrapText="1"/>
    </xf>
    <xf numFmtId="3" fontId="33" fillId="37" borderId="12" xfId="49" applyNumberFormat="1" applyFont="1" applyFill="1" applyBorder="1" applyAlignment="1">
      <alignment horizontal="center" vertical="center" wrapText="1"/>
    </xf>
    <xf numFmtId="0" fontId="33" fillId="38" borderId="12" xfId="49" applyFont="1" applyFill="1" applyBorder="1" applyAlignment="1">
      <alignment horizontal="left" vertical="center" indent="1"/>
    </xf>
    <xf numFmtId="3" fontId="37" fillId="38" borderId="10" xfId="49" applyNumberFormat="1" applyFont="1" applyFill="1" applyBorder="1" applyAlignment="1">
      <alignment horizontal="center" vertical="center" wrapText="1"/>
    </xf>
    <xf numFmtId="3" fontId="33" fillId="37" borderId="0" xfId="49" applyNumberFormat="1" applyFont="1" applyFill="1" applyAlignment="1">
      <alignment horizontal="center" vertical="center" wrapText="1"/>
    </xf>
    <xf numFmtId="3" fontId="33" fillId="37" borderId="11" xfId="49" applyNumberFormat="1" applyFont="1" applyFill="1" applyBorder="1" applyAlignment="1">
      <alignment horizontal="center" vertical="center" wrapText="1"/>
    </xf>
    <xf numFmtId="3" fontId="33" fillId="39" borderId="11" xfId="49" applyNumberFormat="1" applyFont="1" applyFill="1" applyBorder="1" applyAlignment="1">
      <alignment horizontal="center" vertical="center" wrapText="1"/>
    </xf>
    <xf numFmtId="3" fontId="24" fillId="41" borderId="34" xfId="0" applyNumberFormat="1" applyFont="1" applyFill="1" applyBorder="1" applyAlignment="1">
      <alignment horizontal="center" vertical="center"/>
    </xf>
    <xf numFmtId="3" fontId="24" fillId="41" borderId="35" xfId="0" applyNumberFormat="1" applyFont="1" applyFill="1" applyBorder="1" applyAlignment="1">
      <alignment horizontal="center" vertical="center"/>
    </xf>
    <xf numFmtId="3" fontId="31" fillId="41" borderId="35" xfId="0" applyNumberFormat="1" applyFont="1" applyFill="1" applyBorder="1" applyAlignment="1">
      <alignment horizontal="center" vertical="center"/>
    </xf>
    <xf numFmtId="3" fontId="31" fillId="41" borderId="36" xfId="0" applyNumberFormat="1" applyFont="1" applyFill="1" applyBorder="1" applyAlignment="1">
      <alignment horizontal="center" vertical="center"/>
    </xf>
    <xf numFmtId="3" fontId="24" fillId="41" borderId="10" xfId="0" applyNumberFormat="1" applyFont="1" applyFill="1" applyBorder="1" applyAlignment="1">
      <alignment horizontal="center" vertical="center"/>
    </xf>
    <xf numFmtId="3" fontId="24" fillId="41" borderId="0" xfId="0" applyNumberFormat="1" applyFont="1" applyFill="1" applyAlignment="1">
      <alignment horizontal="center" vertical="center"/>
    </xf>
    <xf numFmtId="3" fontId="31" fillId="41" borderId="0" xfId="0" applyNumberFormat="1" applyFont="1" applyFill="1" applyAlignment="1">
      <alignment horizontal="center" vertical="center"/>
    </xf>
    <xf numFmtId="3" fontId="31" fillId="41" borderId="11" xfId="0" applyNumberFormat="1" applyFont="1" applyFill="1" applyBorder="1" applyAlignment="1">
      <alignment horizontal="center" vertical="center"/>
    </xf>
    <xf numFmtId="3" fontId="24" fillId="41" borderId="33" xfId="0" applyNumberFormat="1" applyFont="1" applyFill="1" applyBorder="1" applyAlignment="1">
      <alignment horizontal="center" vertical="center"/>
    </xf>
    <xf numFmtId="3" fontId="24" fillId="41" borderId="23" xfId="0" applyNumberFormat="1" applyFont="1" applyFill="1" applyBorder="1" applyAlignment="1">
      <alignment horizontal="center" vertical="center"/>
    </xf>
    <xf numFmtId="3" fontId="31" fillId="41" borderId="23" xfId="0" applyNumberFormat="1" applyFont="1" applyFill="1" applyBorder="1" applyAlignment="1">
      <alignment horizontal="center" vertical="center"/>
    </xf>
    <xf numFmtId="3" fontId="31" fillId="41" borderId="13" xfId="0" applyNumberFormat="1" applyFont="1" applyFill="1" applyBorder="1" applyAlignment="1">
      <alignment horizontal="center" vertical="center"/>
    </xf>
    <xf numFmtId="3" fontId="30" fillId="42" borderId="16" xfId="0" applyNumberFormat="1" applyFont="1" applyFill="1" applyBorder="1" applyAlignment="1">
      <alignment horizontal="center" vertical="center"/>
    </xf>
    <xf numFmtId="3" fontId="30" fillId="42" borderId="19" xfId="0" applyNumberFormat="1" applyFont="1" applyFill="1" applyBorder="1" applyAlignment="1">
      <alignment horizontal="center" vertical="center"/>
    </xf>
    <xf numFmtId="3" fontId="30" fillId="42" borderId="20" xfId="0" applyNumberFormat="1" applyFont="1" applyFill="1" applyBorder="1" applyAlignment="1">
      <alignment horizontal="center" vertical="center"/>
    </xf>
    <xf numFmtId="3" fontId="30" fillId="42" borderId="24" xfId="0" applyNumberFormat="1" applyFont="1" applyFill="1" applyBorder="1" applyAlignment="1">
      <alignment horizontal="center" vertical="center"/>
    </xf>
    <xf numFmtId="3" fontId="31" fillId="41" borderId="10" xfId="0" applyNumberFormat="1" applyFont="1" applyFill="1" applyBorder="1" applyAlignment="1">
      <alignment horizontal="center" vertical="center"/>
    </xf>
    <xf numFmtId="0" fontId="33" fillId="43" borderId="12" xfId="49" applyFont="1" applyFill="1" applyBorder="1" applyAlignment="1">
      <alignment horizontal="left" vertical="center" indent="1"/>
    </xf>
    <xf numFmtId="0" fontId="24" fillId="43" borderId="12" xfId="0" applyFont="1" applyFill="1" applyBorder="1"/>
    <xf numFmtId="3" fontId="24" fillId="39" borderId="12" xfId="0" applyNumberFormat="1" applyFont="1" applyFill="1" applyBorder="1" applyAlignment="1">
      <alignment horizontal="center" vertical="center"/>
    </xf>
    <xf numFmtId="0" fontId="24" fillId="31" borderId="0" xfId="52" applyFont="1" applyFill="1"/>
    <xf numFmtId="3" fontId="23" fillId="38" borderId="16" xfId="0" applyNumberFormat="1" applyFont="1" applyFill="1" applyBorder="1" applyAlignment="1">
      <alignment horizontal="center" vertical="center"/>
    </xf>
    <xf numFmtId="3" fontId="23" fillId="38" borderId="19" xfId="0" applyNumberFormat="1" applyFont="1" applyFill="1" applyBorder="1" applyAlignment="1">
      <alignment horizontal="center" vertical="center"/>
    </xf>
    <xf numFmtId="3" fontId="23" fillId="38" borderId="20" xfId="0" applyNumberFormat="1" applyFont="1" applyFill="1" applyBorder="1" applyAlignment="1">
      <alignment horizontal="center" vertical="center"/>
    </xf>
    <xf numFmtId="0" fontId="28" fillId="44" borderId="24" xfId="0" applyFont="1" applyFill="1" applyBorder="1" applyAlignment="1">
      <alignment horizontal="left" vertical="center"/>
    </xf>
    <xf numFmtId="0" fontId="28" fillId="44" borderId="24" xfId="0" applyFont="1" applyFill="1" applyBorder="1" applyAlignment="1">
      <alignment horizontal="center" vertical="center"/>
    </xf>
    <xf numFmtId="3" fontId="23" fillId="44" borderId="16" xfId="0" applyNumberFormat="1" applyFont="1" applyFill="1" applyBorder="1" applyAlignment="1">
      <alignment horizontal="center" vertical="center"/>
    </xf>
    <xf numFmtId="3" fontId="23" fillId="44" borderId="19" xfId="0" applyNumberFormat="1" applyFont="1" applyFill="1" applyBorder="1" applyAlignment="1">
      <alignment horizontal="center" vertical="center"/>
    </xf>
    <xf numFmtId="3" fontId="23" fillId="44" borderId="20" xfId="0" applyNumberFormat="1" applyFont="1" applyFill="1" applyBorder="1" applyAlignment="1">
      <alignment horizontal="center" vertical="center"/>
    </xf>
    <xf numFmtId="3" fontId="23" fillId="44" borderId="24" xfId="0" applyNumberFormat="1" applyFont="1" applyFill="1" applyBorder="1" applyAlignment="1">
      <alignment horizontal="center" vertical="center"/>
    </xf>
    <xf numFmtId="0" fontId="31" fillId="43" borderId="10" xfId="0" applyFont="1" applyFill="1" applyBorder="1" applyAlignment="1">
      <alignment horizontal="left" indent="1"/>
    </xf>
    <xf numFmtId="3" fontId="24" fillId="39" borderId="11" xfId="0" applyNumberFormat="1" applyFont="1" applyFill="1" applyBorder="1" applyAlignment="1">
      <alignment horizontal="center" vertical="center"/>
    </xf>
    <xf numFmtId="4" fontId="54" fillId="0" borderId="0" xfId="0" applyNumberFormat="1" applyFont="1"/>
    <xf numFmtId="3" fontId="55" fillId="0" borderId="0" xfId="0" applyNumberFormat="1" applyFont="1"/>
    <xf numFmtId="9" fontId="24" fillId="0" borderId="0" xfId="0" applyNumberFormat="1" applyFont="1"/>
    <xf numFmtId="0" fontId="24" fillId="0" borderId="0" xfId="0" applyFont="1" applyAlignment="1">
      <alignment horizontal="right"/>
    </xf>
    <xf numFmtId="173" fontId="24" fillId="0" borderId="0" xfId="0" applyNumberFormat="1" applyFont="1"/>
    <xf numFmtId="3" fontId="24" fillId="26" borderId="0" xfId="0" applyNumberFormat="1" applyFont="1" applyFill="1"/>
    <xf numFmtId="3" fontId="24" fillId="0" borderId="17" xfId="0" applyNumberFormat="1" applyFont="1" applyBorder="1" applyAlignment="1">
      <alignment horizontal="center" vertical="center" wrapText="1"/>
    </xf>
    <xf numFmtId="3" fontId="23" fillId="24" borderId="24" xfId="0" applyNumberFormat="1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left" indent="1"/>
    </xf>
    <xf numFmtId="0" fontId="31" fillId="34" borderId="10" xfId="0" applyFont="1" applyFill="1" applyBorder="1" applyAlignment="1">
      <alignment horizontal="left" indent="1"/>
    </xf>
    <xf numFmtId="170" fontId="24" fillId="0" borderId="0" xfId="0" applyNumberFormat="1" applyFont="1"/>
    <xf numFmtId="170" fontId="24" fillId="0" borderId="0" xfId="0" applyNumberFormat="1" applyFont="1" applyAlignment="1">
      <alignment horizontal="center" vertical="center"/>
    </xf>
    <xf numFmtId="10" fontId="23" fillId="0" borderId="0" xfId="0" applyNumberFormat="1" applyFont="1"/>
    <xf numFmtId="9" fontId="24" fillId="26" borderId="12" xfId="0" applyNumberFormat="1" applyFont="1" applyFill="1" applyBorder="1" applyAlignment="1">
      <alignment horizontal="center" vertical="center" wrapText="1"/>
    </xf>
    <xf numFmtId="170" fontId="24" fillId="26" borderId="12" xfId="0" applyNumberFormat="1" applyFont="1" applyFill="1" applyBorder="1" applyAlignment="1">
      <alignment horizontal="center" vertical="center" wrapText="1"/>
    </xf>
    <xf numFmtId="9" fontId="24" fillId="26" borderId="32" xfId="0" applyNumberFormat="1" applyFont="1" applyFill="1" applyBorder="1" applyAlignment="1">
      <alignment horizontal="center" vertical="center" wrapText="1"/>
    </xf>
    <xf numFmtId="3" fontId="24" fillId="29" borderId="0" xfId="0" applyNumberFormat="1" applyFont="1" applyFill="1"/>
    <xf numFmtId="0" fontId="23" fillId="29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 vertical="center"/>
    </xf>
    <xf numFmtId="10" fontId="31" fillId="0" borderId="0" xfId="37" applyNumberFormat="1" applyFont="1" applyAlignment="1">
      <alignment horizontal="left"/>
    </xf>
    <xf numFmtId="3" fontId="31" fillId="0" borderId="0" xfId="0" applyNumberFormat="1" applyFont="1" applyAlignment="1">
      <alignment horizontal="left"/>
    </xf>
    <xf numFmtId="10" fontId="31" fillId="0" borderId="0" xfId="37" applyNumberFormat="1" applyFont="1" applyAlignment="1">
      <alignment horizontal="center"/>
    </xf>
    <xf numFmtId="0" fontId="31" fillId="0" borderId="0" xfId="0" applyFont="1" applyAlignment="1">
      <alignment horizontal="center"/>
    </xf>
    <xf numFmtId="3" fontId="23" fillId="0" borderId="0" xfId="0" applyNumberFormat="1" applyFont="1" applyAlignment="1">
      <alignment horizontal="center" vertical="center"/>
    </xf>
    <xf numFmtId="3" fontId="24" fillId="44" borderId="12" xfId="0" applyNumberFormat="1" applyFont="1" applyFill="1" applyBorder="1" applyAlignment="1">
      <alignment horizontal="center" wrapText="1"/>
    </xf>
    <xf numFmtId="10" fontId="24" fillId="0" borderId="0" xfId="0" applyNumberFormat="1" applyFont="1" applyAlignment="1">
      <alignment horizontal="center" vertical="center"/>
    </xf>
    <xf numFmtId="175" fontId="24" fillId="0" borderId="0" xfId="0" applyNumberFormat="1" applyFont="1"/>
    <xf numFmtId="3" fontId="24" fillId="24" borderId="12" xfId="0" applyNumberFormat="1" applyFont="1" applyFill="1" applyBorder="1" applyAlignment="1">
      <alignment horizontal="center"/>
    </xf>
    <xf numFmtId="3" fontId="31" fillId="34" borderId="36" xfId="0" applyNumberFormat="1" applyFont="1" applyFill="1" applyBorder="1" applyAlignment="1">
      <alignment horizontal="center"/>
    </xf>
    <xf numFmtId="3" fontId="31" fillId="34" borderId="23" xfId="0" applyNumberFormat="1" applyFont="1" applyFill="1" applyBorder="1" applyAlignment="1">
      <alignment horizontal="center"/>
    </xf>
    <xf numFmtId="3" fontId="31" fillId="34" borderId="13" xfId="0" applyNumberFormat="1" applyFont="1" applyFill="1" applyBorder="1" applyAlignment="1">
      <alignment horizontal="center"/>
    </xf>
    <xf numFmtId="3" fontId="24" fillId="0" borderId="35" xfId="0" applyNumberFormat="1" applyFont="1" applyBorder="1" applyAlignment="1">
      <alignment horizontal="center" vertical="center"/>
    </xf>
    <xf numFmtId="2" fontId="24" fillId="34" borderId="12" xfId="0" applyNumberFormat="1" applyFont="1" applyFill="1" applyBorder="1" applyAlignment="1">
      <alignment horizontal="center"/>
    </xf>
    <xf numFmtId="2" fontId="24" fillId="34" borderId="0" xfId="0" applyNumberFormat="1" applyFont="1" applyFill="1" applyAlignment="1">
      <alignment horizontal="center"/>
    </xf>
    <xf numFmtId="10" fontId="23" fillId="29" borderId="19" xfId="37" applyNumberFormat="1" applyFont="1" applyFill="1" applyBorder="1" applyAlignment="1">
      <alignment horizontal="center" vertical="center"/>
    </xf>
    <xf numFmtId="10" fontId="23" fillId="29" borderId="20" xfId="37" applyNumberFormat="1" applyFont="1" applyFill="1" applyBorder="1" applyAlignment="1">
      <alignment horizontal="center" vertical="center"/>
    </xf>
    <xf numFmtId="10" fontId="23" fillId="29" borderId="24" xfId="37" applyNumberFormat="1" applyFont="1" applyFill="1" applyBorder="1" applyAlignment="1">
      <alignment horizontal="center" vertical="center"/>
    </xf>
    <xf numFmtId="179" fontId="24" fillId="0" borderId="0" xfId="37" applyNumberFormat="1" applyFont="1"/>
    <xf numFmtId="10" fontId="24" fillId="0" borderId="0" xfId="0" applyNumberFormat="1" applyFont="1"/>
    <xf numFmtId="0" fontId="24" fillId="0" borderId="34" xfId="0" applyFont="1" applyBorder="1"/>
    <xf numFmtId="0" fontId="24" fillId="0" borderId="33" xfId="0" applyFont="1" applyBorder="1"/>
    <xf numFmtId="3" fontId="24" fillId="24" borderId="33" xfId="0" applyNumberFormat="1" applyFont="1" applyFill="1" applyBorder="1" applyAlignment="1">
      <alignment horizontal="center" vertical="center"/>
    </xf>
    <xf numFmtId="3" fontId="24" fillId="46" borderId="0" xfId="0" applyNumberFormat="1" applyFont="1" applyFill="1" applyAlignment="1">
      <alignment horizontal="center"/>
    </xf>
    <xf numFmtId="3" fontId="24" fillId="46" borderId="11" xfId="0" applyNumberFormat="1" applyFont="1" applyFill="1" applyBorder="1" applyAlignment="1">
      <alignment horizontal="center"/>
    </xf>
    <xf numFmtId="0" fontId="31" fillId="47" borderId="10" xfId="0" applyFont="1" applyFill="1" applyBorder="1" applyAlignment="1">
      <alignment horizontal="left" indent="1"/>
    </xf>
    <xf numFmtId="0" fontId="24" fillId="47" borderId="12" xfId="0" applyFont="1" applyFill="1" applyBorder="1" applyAlignment="1">
      <alignment vertical="center" wrapText="1"/>
    </xf>
    <xf numFmtId="3" fontId="24" fillId="47" borderId="0" xfId="0" applyNumberFormat="1" applyFont="1" applyFill="1" applyAlignment="1">
      <alignment horizontal="center" vertical="center"/>
    </xf>
    <xf numFmtId="3" fontId="24" fillId="47" borderId="11" xfId="0" applyNumberFormat="1" applyFont="1" applyFill="1" applyBorder="1" applyAlignment="1">
      <alignment horizontal="center" vertical="center"/>
    </xf>
    <xf numFmtId="3" fontId="42" fillId="0" borderId="12" xfId="0" applyNumberFormat="1" applyFont="1" applyBorder="1" applyAlignment="1">
      <alignment horizontal="center" wrapText="1"/>
    </xf>
    <xf numFmtId="0" fontId="27" fillId="25" borderId="41" xfId="0" applyFont="1" applyFill="1" applyBorder="1" applyAlignment="1">
      <alignment horizontal="center" vertical="center"/>
    </xf>
    <xf numFmtId="0" fontId="27" fillId="25" borderId="42" xfId="0" applyFont="1" applyFill="1" applyBorder="1" applyAlignment="1">
      <alignment horizontal="center" vertical="center"/>
    </xf>
    <xf numFmtId="3" fontId="24" fillId="0" borderId="41" xfId="0" applyNumberFormat="1" applyFont="1" applyBorder="1" applyAlignment="1">
      <alignment horizontal="center" vertical="center"/>
    </xf>
    <xf numFmtId="3" fontId="24" fillId="0" borderId="42" xfId="0" applyNumberFormat="1" applyFont="1" applyBorder="1" applyAlignment="1">
      <alignment horizontal="center" vertical="center"/>
    </xf>
    <xf numFmtId="0" fontId="32" fillId="0" borderId="0" xfId="0" applyFont="1"/>
    <xf numFmtId="3" fontId="32" fillId="0" borderId="0" xfId="0" applyNumberFormat="1" applyFont="1"/>
    <xf numFmtId="4" fontId="32" fillId="0" borderId="0" xfId="0" applyNumberFormat="1" applyFont="1"/>
    <xf numFmtId="170" fontId="32" fillId="0" borderId="0" xfId="0" applyNumberFormat="1" applyFont="1"/>
    <xf numFmtId="0" fontId="31" fillId="0" borderId="0" xfId="0" quotePrefix="1" applyFont="1"/>
    <xf numFmtId="1" fontId="32" fillId="0" borderId="0" xfId="0" applyNumberFormat="1" applyFont="1"/>
    <xf numFmtId="4" fontId="24" fillId="0" borderId="41" xfId="0" applyNumberFormat="1" applyFont="1" applyBorder="1" applyAlignment="1">
      <alignment horizontal="center" vertical="center"/>
    </xf>
    <xf numFmtId="4" fontId="24" fillId="0" borderId="42" xfId="0" applyNumberFormat="1" applyFont="1" applyBorder="1" applyAlignment="1">
      <alignment horizontal="center" vertical="center"/>
    </xf>
    <xf numFmtId="10" fontId="31" fillId="0" borderId="0" xfId="0" applyNumberFormat="1" applyFont="1"/>
    <xf numFmtId="0" fontId="54" fillId="0" borderId="0" xfId="0" applyFont="1"/>
    <xf numFmtId="3" fontId="24" fillId="32" borderId="11" xfId="0" applyNumberFormat="1" applyFont="1" applyFill="1" applyBorder="1" applyAlignment="1">
      <alignment horizontal="center" vertical="center"/>
    </xf>
    <xf numFmtId="3" fontId="24" fillId="32" borderId="36" xfId="0" applyNumberFormat="1" applyFont="1" applyFill="1" applyBorder="1" applyAlignment="1">
      <alignment horizontal="center" vertical="center"/>
    </xf>
    <xf numFmtId="3" fontId="24" fillId="32" borderId="23" xfId="0" applyNumberFormat="1" applyFont="1" applyFill="1" applyBorder="1" applyAlignment="1">
      <alignment horizontal="center" vertical="center"/>
    </xf>
    <xf numFmtId="3" fontId="24" fillId="32" borderId="13" xfId="0" applyNumberFormat="1" applyFont="1" applyFill="1" applyBorder="1" applyAlignment="1">
      <alignment horizontal="center" vertical="center"/>
    </xf>
    <xf numFmtId="3" fontId="24" fillId="45" borderId="0" xfId="0" applyNumberFormat="1" applyFont="1" applyFill="1" applyAlignment="1">
      <alignment horizontal="center" vertical="center"/>
    </xf>
    <xf numFmtId="3" fontId="24" fillId="45" borderId="11" xfId="0" applyNumberFormat="1" applyFont="1" applyFill="1" applyBorder="1" applyAlignment="1">
      <alignment horizontal="center" vertical="center"/>
    </xf>
    <xf numFmtId="3" fontId="58" fillId="28" borderId="19" xfId="0" applyNumberFormat="1" applyFont="1" applyFill="1" applyBorder="1" applyAlignment="1">
      <alignment horizontal="center"/>
    </xf>
    <xf numFmtId="3" fontId="31" fillId="34" borderId="0" xfId="0" applyNumberFormat="1" applyFont="1" applyFill="1" applyAlignment="1">
      <alignment horizontal="center" wrapText="1"/>
    </xf>
    <xf numFmtId="3" fontId="31" fillId="34" borderId="19" xfId="0" applyNumberFormat="1" applyFont="1" applyFill="1" applyBorder="1" applyAlignment="1">
      <alignment horizontal="center"/>
    </xf>
    <xf numFmtId="9" fontId="23" fillId="0" borderId="0" xfId="0" applyNumberFormat="1" applyFont="1"/>
    <xf numFmtId="3" fontId="33" fillId="0" borderId="0" xfId="49" applyNumberFormat="1" applyFont="1" applyAlignment="1">
      <alignment vertical="center"/>
    </xf>
    <xf numFmtId="3" fontId="37" fillId="0" borderId="0" xfId="49" applyNumberFormat="1" applyFont="1" applyAlignment="1">
      <alignment horizontal="left" vertical="center" indent="1"/>
    </xf>
    <xf numFmtId="180" fontId="24" fillId="0" borderId="0" xfId="37" applyNumberFormat="1" applyFont="1"/>
    <xf numFmtId="0" fontId="24" fillId="44" borderId="18" xfId="0" applyFont="1" applyFill="1" applyBorder="1" applyAlignment="1">
      <alignment horizontal="left" indent="1"/>
    </xf>
    <xf numFmtId="0" fontId="24" fillId="44" borderId="18" xfId="0" applyFont="1" applyFill="1" applyBorder="1" applyAlignment="1">
      <alignment horizontal="center" vertical="center" wrapText="1"/>
    </xf>
    <xf numFmtId="3" fontId="24" fillId="44" borderId="23" xfId="0" applyNumberFormat="1" applyFont="1" applyFill="1" applyBorder="1" applyAlignment="1">
      <alignment horizontal="center" vertical="center"/>
    </xf>
    <xf numFmtId="3" fontId="24" fillId="44" borderId="13" xfId="0" applyNumberFormat="1" applyFont="1" applyFill="1" applyBorder="1" applyAlignment="1">
      <alignment horizontal="center" vertical="center"/>
    </xf>
    <xf numFmtId="3" fontId="24" fillId="44" borderId="18" xfId="0" applyNumberFormat="1" applyFont="1" applyFill="1" applyBorder="1" applyAlignment="1">
      <alignment horizontal="center" vertical="center"/>
    </xf>
    <xf numFmtId="3" fontId="24" fillId="44" borderId="18" xfId="0" applyNumberFormat="1" applyFont="1" applyFill="1" applyBorder="1" applyAlignment="1">
      <alignment horizontal="center" vertical="center" wrapText="1"/>
    </xf>
    <xf numFmtId="9" fontId="31" fillId="0" borderId="0" xfId="0" applyNumberFormat="1" applyFont="1"/>
    <xf numFmtId="3" fontId="24" fillId="32" borderId="43" xfId="0" applyNumberFormat="1" applyFont="1" applyFill="1" applyBorder="1" applyAlignment="1">
      <alignment horizontal="center"/>
    </xf>
    <xf numFmtId="3" fontId="24" fillId="32" borderId="10" xfId="0" applyNumberFormat="1" applyFont="1" applyFill="1" applyBorder="1" applyAlignment="1">
      <alignment horizontal="center"/>
    </xf>
    <xf numFmtId="3" fontId="24" fillId="32" borderId="16" xfId="0" applyNumberFormat="1" applyFont="1" applyFill="1" applyBorder="1" applyAlignment="1">
      <alignment horizontal="center"/>
    </xf>
    <xf numFmtId="4" fontId="31" fillId="0" borderId="0" xfId="0" applyNumberFormat="1" applyFont="1"/>
    <xf numFmtId="170" fontId="31" fillId="0" borderId="0" xfId="0" applyNumberFormat="1" applyFont="1"/>
    <xf numFmtId="1" fontId="31" fillId="0" borderId="0" xfId="0" applyNumberFormat="1" applyFont="1"/>
    <xf numFmtId="3" fontId="54" fillId="0" borderId="0" xfId="0" applyNumberFormat="1" applyFont="1"/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0" xfId="0" applyFont="1"/>
    <xf numFmtId="0" fontId="24" fillId="48" borderId="10" xfId="0" applyFont="1" applyFill="1" applyBorder="1" applyAlignment="1">
      <alignment horizontal="left" indent="1"/>
    </xf>
    <xf numFmtId="3" fontId="24" fillId="48" borderId="0" xfId="0" applyNumberFormat="1" applyFont="1" applyFill="1" applyAlignment="1">
      <alignment horizontal="center" vertical="center"/>
    </xf>
    <xf numFmtId="3" fontId="24" fillId="48" borderId="11" xfId="0" applyNumberFormat="1" applyFont="1" applyFill="1" applyBorder="1" applyAlignment="1">
      <alignment horizontal="center" vertical="center"/>
    </xf>
    <xf numFmtId="0" fontId="31" fillId="48" borderId="10" xfId="0" applyFont="1" applyFill="1" applyBorder="1" applyAlignment="1">
      <alignment horizontal="left" indent="1"/>
    </xf>
    <xf numFmtId="0" fontId="27" fillId="25" borderId="43" xfId="0" applyFont="1" applyFill="1" applyBorder="1" applyAlignment="1">
      <alignment horizontal="center" vertical="center"/>
    </xf>
    <xf numFmtId="3" fontId="31" fillId="48" borderId="0" xfId="0" applyNumberFormat="1" applyFont="1" applyFill="1" applyAlignment="1">
      <alignment horizontal="center" vertical="center"/>
    </xf>
    <xf numFmtId="3" fontId="31" fillId="48" borderId="11" xfId="0" applyNumberFormat="1" applyFont="1" applyFill="1" applyBorder="1" applyAlignment="1">
      <alignment horizontal="center" vertical="center"/>
    </xf>
    <xf numFmtId="173" fontId="31" fillId="34" borderId="33" xfId="51" applyNumberFormat="1" applyFont="1" applyFill="1" applyBorder="1"/>
    <xf numFmtId="173" fontId="31" fillId="34" borderId="23" xfId="51" applyNumberFormat="1" applyFont="1" applyFill="1" applyBorder="1"/>
    <xf numFmtId="173" fontId="31" fillId="34" borderId="13" xfId="51" applyNumberFormat="1" applyFont="1" applyFill="1" applyBorder="1"/>
    <xf numFmtId="0" fontId="31" fillId="0" borderId="12" xfId="0" applyFont="1" applyBorder="1" applyAlignment="1">
      <alignment horizontal="left" indent="1"/>
    </xf>
    <xf numFmtId="172" fontId="26" fillId="25" borderId="33" xfId="0" applyNumberFormat="1" applyFont="1" applyFill="1" applyBorder="1" applyAlignment="1">
      <alignment horizontal="center"/>
    </xf>
    <xf numFmtId="3" fontId="24" fillId="32" borderId="41" xfId="0" applyNumberFormat="1" applyFont="1" applyFill="1" applyBorder="1" applyAlignment="1">
      <alignment horizontal="center" vertical="center"/>
    </xf>
    <xf numFmtId="3" fontId="24" fillId="32" borderId="42" xfId="0" applyNumberFormat="1" applyFont="1" applyFill="1" applyBorder="1" applyAlignment="1">
      <alignment horizontal="center" vertical="center"/>
    </xf>
    <xf numFmtId="0" fontId="33" fillId="34" borderId="12" xfId="49" applyFont="1" applyFill="1" applyBorder="1" applyAlignment="1">
      <alignment horizontal="left" vertical="center" wrapText="1" indent="1"/>
    </xf>
    <xf numFmtId="0" fontId="33" fillId="37" borderId="12" xfId="49" applyFont="1" applyFill="1" applyBorder="1" applyAlignment="1">
      <alignment horizontal="left" vertical="center" wrapText="1" indent="1"/>
    </xf>
    <xf numFmtId="0" fontId="33" fillId="0" borderId="0" xfId="49" applyFont="1" applyAlignment="1">
      <alignment horizontal="left" vertical="center" wrapText="1"/>
    </xf>
    <xf numFmtId="0" fontId="52" fillId="0" borderId="16" xfId="49" applyFont="1" applyBorder="1" applyAlignment="1">
      <alignment horizontal="center" vertical="center" wrapText="1"/>
    </xf>
    <xf numFmtId="0" fontId="52" fillId="0" borderId="19" xfId="49" applyFont="1" applyBorder="1" applyAlignment="1">
      <alignment horizontal="center" vertical="center" wrapText="1"/>
    </xf>
    <xf numFmtId="0" fontId="52" fillId="0" borderId="20" xfId="49" applyFont="1" applyBorder="1" applyAlignment="1">
      <alignment horizontal="center" vertical="center" wrapText="1"/>
    </xf>
    <xf numFmtId="0" fontId="33" fillId="34" borderId="19" xfId="49" applyFont="1" applyFill="1" applyBorder="1" applyAlignment="1">
      <alignment horizontal="center"/>
    </xf>
    <xf numFmtId="0" fontId="33" fillId="34" borderId="20" xfId="49" applyFont="1" applyFill="1" applyBorder="1" applyAlignment="1">
      <alignment horizontal="center"/>
    </xf>
    <xf numFmtId="0" fontId="48" fillId="0" borderId="0" xfId="49" applyFont="1" applyAlignment="1">
      <alignment horizontal="right" vertical="center"/>
    </xf>
    <xf numFmtId="0" fontId="49" fillId="0" borderId="0" xfId="49" applyFont="1" applyAlignment="1">
      <alignment horizontal="left"/>
    </xf>
    <xf numFmtId="0" fontId="51" fillId="0" borderId="16" xfId="49" applyFont="1" applyBorder="1" applyAlignment="1">
      <alignment horizontal="center"/>
    </xf>
    <xf numFmtId="0" fontId="51" fillId="0" borderId="19" xfId="49" applyFont="1" applyBorder="1" applyAlignment="1">
      <alignment horizontal="center"/>
    </xf>
    <xf numFmtId="0" fontId="51" fillId="0" borderId="20" xfId="49" applyFont="1" applyBorder="1" applyAlignment="1">
      <alignment horizontal="center"/>
    </xf>
    <xf numFmtId="0" fontId="50" fillId="34" borderId="16" xfId="49" applyFont="1" applyFill="1" applyBorder="1" applyAlignment="1">
      <alignment horizontal="center"/>
    </xf>
    <xf numFmtId="0" fontId="50" fillId="34" borderId="19" xfId="49" applyFont="1" applyFill="1" applyBorder="1" applyAlignment="1">
      <alignment horizontal="center"/>
    </xf>
    <xf numFmtId="0" fontId="50" fillId="34" borderId="20" xfId="49" applyFont="1" applyFill="1" applyBorder="1" applyAlignment="1">
      <alignment horizontal="center"/>
    </xf>
    <xf numFmtId="0" fontId="28" fillId="27" borderId="25" xfId="0" applyFont="1" applyFill="1" applyBorder="1" applyAlignment="1">
      <alignment horizontal="center" vertical="center" wrapText="1"/>
    </xf>
    <xf numFmtId="0" fontId="28" fillId="27" borderId="26" xfId="0" applyFont="1" applyFill="1" applyBorder="1" applyAlignment="1">
      <alignment horizontal="center" vertical="center"/>
    </xf>
    <xf numFmtId="0" fontId="27" fillId="25" borderId="34" xfId="0" applyFont="1" applyFill="1" applyBorder="1" applyAlignment="1">
      <alignment horizontal="center" vertical="center"/>
    </xf>
    <xf numFmtId="0" fontId="27" fillId="25" borderId="33" xfId="0" applyFont="1" applyFill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/>
    </xf>
    <xf numFmtId="0" fontId="27" fillId="25" borderId="18" xfId="0" applyFont="1" applyFill="1" applyBorder="1" applyAlignment="1">
      <alignment horizontal="center" vertical="center"/>
    </xf>
    <xf numFmtId="0" fontId="27" fillId="25" borderId="34" xfId="0" applyFont="1" applyFill="1" applyBorder="1" applyAlignment="1">
      <alignment horizontal="center" vertical="center" wrapText="1"/>
    </xf>
    <xf numFmtId="0" fontId="27" fillId="25" borderId="33" xfId="0" applyFont="1" applyFill="1" applyBorder="1" applyAlignment="1">
      <alignment horizontal="center" vertical="center" wrapText="1"/>
    </xf>
    <xf numFmtId="0" fontId="27" fillId="25" borderId="36" xfId="0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 wrapText="1"/>
    </xf>
    <xf numFmtId="0" fontId="27" fillId="25" borderId="35" xfId="0" applyFont="1" applyFill="1" applyBorder="1" applyAlignment="1">
      <alignment horizontal="center" vertical="center" wrapText="1"/>
    </xf>
    <xf numFmtId="0" fontId="27" fillId="25" borderId="2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 wrapText="1"/>
    </xf>
    <xf numFmtId="0" fontId="27" fillId="25" borderId="18" xfId="0" applyFont="1" applyFill="1" applyBorder="1" applyAlignment="1">
      <alignment horizontal="center" vertical="center" wrapText="1"/>
    </xf>
    <xf numFmtId="0" fontId="28" fillId="27" borderId="16" xfId="0" applyFont="1" applyFill="1" applyBorder="1" applyAlignment="1">
      <alignment horizontal="center" vertical="center" wrapText="1"/>
    </xf>
    <xf numFmtId="0" fontId="28" fillId="27" borderId="19" xfId="0" applyFont="1" applyFill="1" applyBorder="1" applyAlignment="1">
      <alignment horizontal="center" vertical="center" wrapText="1"/>
    </xf>
    <xf numFmtId="0" fontId="28" fillId="27" borderId="20" xfId="0" applyFont="1" applyFill="1" applyBorder="1" applyAlignment="1">
      <alignment horizontal="center" vertical="center" wrapText="1"/>
    </xf>
    <xf numFmtId="0" fontId="27" fillId="31" borderId="17" xfId="0" applyFont="1" applyFill="1" applyBorder="1" applyAlignment="1">
      <alignment horizontal="center" vertical="center" wrapText="1"/>
    </xf>
    <xf numFmtId="0" fontId="27" fillId="31" borderId="12" xfId="0" applyFont="1" applyFill="1" applyBorder="1" applyAlignment="1">
      <alignment horizontal="center" vertical="center" wrapText="1"/>
    </xf>
    <xf numFmtId="0" fontId="27" fillId="31" borderId="24" xfId="0" applyFont="1" applyFill="1" applyBorder="1" applyAlignment="1">
      <alignment horizontal="center" vertical="center" wrapText="1"/>
    </xf>
    <xf numFmtId="0" fontId="27" fillId="31" borderId="16" xfId="0" applyFont="1" applyFill="1" applyBorder="1" applyAlignment="1">
      <alignment horizontal="center" vertical="center" wrapText="1"/>
    </xf>
    <xf numFmtId="0" fontId="27" fillId="31" borderId="43" xfId="0" applyFont="1" applyFill="1" applyBorder="1" applyAlignment="1">
      <alignment horizontal="center" vertical="center" wrapText="1"/>
    </xf>
    <xf numFmtId="0" fontId="27" fillId="31" borderId="10" xfId="0" applyFont="1" applyFill="1" applyBorder="1" applyAlignment="1">
      <alignment horizontal="center" vertical="center" wrapText="1"/>
    </xf>
    <xf numFmtId="0" fontId="28" fillId="27" borderId="19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7" fillId="25" borderId="14" xfId="0" applyFont="1" applyFill="1" applyBorder="1" applyAlignment="1">
      <alignment horizontal="center" vertical="center" wrapText="1"/>
    </xf>
    <xf numFmtId="0" fontId="27" fillId="25" borderId="15" xfId="0" applyFont="1" applyFill="1" applyBorder="1" applyAlignment="1">
      <alignment horizontal="center" vertical="center"/>
    </xf>
    <xf numFmtId="0" fontId="27" fillId="25" borderId="14" xfId="0" applyFont="1" applyFill="1" applyBorder="1" applyAlignment="1">
      <alignment horizontal="center" vertical="center"/>
    </xf>
    <xf numFmtId="0" fontId="27" fillId="25" borderId="15" xfId="0" applyFont="1" applyFill="1" applyBorder="1" applyAlignment="1">
      <alignment horizontal="center" vertical="center" wrapText="1"/>
    </xf>
    <xf numFmtId="0" fontId="24" fillId="26" borderId="17" xfId="0" applyFont="1" applyFill="1" applyBorder="1" applyAlignment="1">
      <alignment horizontal="center" vertical="center"/>
    </xf>
    <xf numFmtId="0" fontId="24" fillId="26" borderId="12" xfId="0" applyFont="1" applyFill="1" applyBorder="1" applyAlignment="1">
      <alignment horizontal="center" vertical="center"/>
    </xf>
    <xf numFmtId="0" fontId="29" fillId="25" borderId="17" xfId="0" applyFont="1" applyFill="1" applyBorder="1" applyAlignment="1">
      <alignment horizontal="center" vertical="center" wrapText="1"/>
    </xf>
    <xf numFmtId="0" fontId="29" fillId="25" borderId="18" xfId="0" applyFont="1" applyFill="1" applyBorder="1" applyAlignment="1">
      <alignment horizontal="center" vertical="center" wrapText="1"/>
    </xf>
    <xf numFmtId="0" fontId="27" fillId="31" borderId="18" xfId="0" applyFont="1" applyFill="1" applyBorder="1" applyAlignment="1">
      <alignment horizontal="center" vertical="center" wrapText="1"/>
    </xf>
    <xf numFmtId="0" fontId="28" fillId="27" borderId="16" xfId="0" applyFont="1" applyFill="1" applyBorder="1" applyAlignment="1">
      <alignment horizontal="center" vertical="center"/>
    </xf>
    <xf numFmtId="0" fontId="27" fillId="25" borderId="12" xfId="0" applyFont="1" applyFill="1" applyBorder="1" applyAlignment="1">
      <alignment horizontal="center" vertical="center"/>
    </xf>
    <xf numFmtId="165" fontId="25" fillId="25" borderId="17" xfId="33" applyNumberFormat="1" applyFont="1" applyFill="1" applyBorder="1" applyAlignment="1">
      <alignment horizontal="center" vertical="center" wrapText="1"/>
    </xf>
    <xf numFmtId="165" fontId="25" fillId="25" borderId="18" xfId="33" applyNumberFormat="1" applyFont="1" applyFill="1" applyBorder="1" applyAlignment="1">
      <alignment horizontal="center" vertical="center" wrapText="1"/>
    </xf>
    <xf numFmtId="0" fontId="28" fillId="27" borderId="27" xfId="0" applyFont="1" applyFill="1" applyBorder="1" applyAlignment="1">
      <alignment horizontal="center" vertical="center"/>
    </xf>
    <xf numFmtId="0" fontId="34" fillId="25" borderId="24" xfId="49" applyFont="1" applyFill="1" applyBorder="1" applyAlignment="1">
      <alignment horizontal="center" vertical="center" wrapText="1"/>
    </xf>
    <xf numFmtId="3" fontId="34" fillId="25" borderId="24" xfId="49" applyNumberFormat="1" applyFont="1" applyFill="1" applyBorder="1" applyAlignment="1">
      <alignment horizontal="center" vertical="center" wrapText="1"/>
    </xf>
    <xf numFmtId="3" fontId="34" fillId="25" borderId="16" xfId="49" applyNumberFormat="1" applyFont="1" applyFill="1" applyBorder="1" applyAlignment="1">
      <alignment horizontal="center" vertical="center" wrapText="1"/>
    </xf>
    <xf numFmtId="0" fontId="34" fillId="25" borderId="20" xfId="49" applyFont="1" applyFill="1" applyBorder="1" applyAlignment="1">
      <alignment horizontal="center" vertical="center" wrapText="1"/>
    </xf>
    <xf numFmtId="3" fontId="34" fillId="25" borderId="17" xfId="49" applyNumberFormat="1" applyFont="1" applyFill="1" applyBorder="1" applyAlignment="1">
      <alignment horizontal="center" vertical="center" wrapText="1"/>
    </xf>
    <xf numFmtId="3" fontId="34" fillId="25" borderId="18" xfId="49" applyNumberFormat="1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40" borderId="16" xfId="0" applyFont="1" applyFill="1" applyBorder="1" applyAlignment="1">
      <alignment horizontal="center" vertical="center"/>
    </xf>
    <xf numFmtId="0" fontId="28" fillId="40" borderId="19" xfId="0" applyFont="1" applyFill="1" applyBorder="1" applyAlignment="1">
      <alignment horizontal="center" vertical="center"/>
    </xf>
    <xf numFmtId="0" fontId="28" fillId="40" borderId="20" xfId="0" applyFont="1" applyFill="1" applyBorder="1" applyAlignment="1">
      <alignment horizontal="center" vertical="center"/>
    </xf>
    <xf numFmtId="0" fontId="28" fillId="27" borderId="25" xfId="0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</cellXfs>
  <cellStyles count="6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alculation 2" xfId="53" xr:uid="{4EA2122C-8FF8-4BB6-98D0-ED90F24E12E3}"/>
    <cellStyle name="Cellule liée" xfId="27" builtinId="24" customBuiltin="1"/>
    <cellStyle name="Currency 2" xfId="58" xr:uid="{E52E307C-333E-4006-AC90-C48EE2B378DE}"/>
    <cellStyle name="Currency 3" xfId="63" xr:uid="{D2524EA3-F73C-4264-B6AD-D039672F6B76}"/>
    <cellStyle name="Entrée" xfId="29" builtinId="20" customBuiltin="1"/>
    <cellStyle name="Euro" xfId="30" xr:uid="{00000000-0005-0000-0000-00001C000000}"/>
    <cellStyle name="Euro 2" xfId="56" xr:uid="{5FEB46C2-596B-466C-A4E0-D3DC60D896E1}"/>
    <cellStyle name="Input 2" xfId="55" xr:uid="{4ED31E9D-9121-42AC-A321-9E8295B3D93D}"/>
    <cellStyle name="Insatisfaisant" xfId="31" builtinId="27" customBuiltin="1"/>
    <cellStyle name="Milliers" xfId="51" builtinId="3"/>
    <cellStyle name="Milliers 2" xfId="32" xr:uid="{00000000-0005-0000-0000-00001F000000}"/>
    <cellStyle name="Milliers 2 2" xfId="57" xr:uid="{D37B360F-2691-4F8A-B6CA-F5CABA2E05F7}"/>
    <cellStyle name="Milliers 3" xfId="50" xr:uid="{00000000-0005-0000-0000-000020000000}"/>
    <cellStyle name="Monétaire" xfId="33" builtinId="4"/>
    <cellStyle name="Monétaire 2" xfId="34" xr:uid="{00000000-0005-0000-0000-000022000000}"/>
    <cellStyle name="Monétaire 2 2" xfId="59" xr:uid="{1654A1FF-AA2C-4267-BA9A-2BF9FD9D6876}"/>
    <cellStyle name="Neutre" xfId="35" builtinId="28" customBuiltin="1"/>
    <cellStyle name="Normal" xfId="0" builtinId="0"/>
    <cellStyle name="Normal 2" xfId="36" xr:uid="{00000000-0005-0000-0000-000025000000}"/>
    <cellStyle name="Normal 3" xfId="49" xr:uid="{00000000-0005-0000-0000-000026000000}"/>
    <cellStyle name="Normal 4" xfId="52" xr:uid="{AAB27166-D6F9-42E9-B651-7EB50E8FA4F4}"/>
    <cellStyle name="Normal 5" xfId="64" xr:uid="{C1FF3279-A444-49FC-8B4E-9490C87365B4}"/>
    <cellStyle name="Normal 5 2" xfId="65" xr:uid="{01484D62-1815-4B45-8CEE-A60EACEEAAE9}"/>
    <cellStyle name="Note" xfId="28" builtinId="10" customBuiltin="1"/>
    <cellStyle name="Note 2" xfId="54" xr:uid="{E251C5DE-EE94-4867-ABA4-99C3B5E8F0AB}"/>
    <cellStyle name="Output 2" xfId="61" xr:uid="{094523BC-702F-42B2-AEC2-A264FC78A65F}"/>
    <cellStyle name="Pourcentage" xfId="37" builtinId="5"/>
    <cellStyle name="Pourcentage 2" xfId="38" xr:uid="{00000000-0005-0000-0000-000029000000}"/>
    <cellStyle name="Pourcentage 2 2" xfId="60" xr:uid="{80B8DCA8-3A9F-490E-A787-79AF60A3373E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Total 2" xfId="62" xr:uid="{DBA4B004-4772-437C-9163-073897DB11C4}"/>
    <cellStyle name="Vérification" xfId="48" builtinId="23" customBuiltin="1"/>
  </cellStyles>
  <dxfs count="11">
    <dxf>
      <font>
        <color rgb="FFFF0000"/>
      </font>
    </dxf>
    <dxf>
      <font>
        <b/>
        <i val="0"/>
        <color theme="6"/>
      </font>
    </dxf>
    <dxf>
      <font>
        <b/>
        <i val="0"/>
        <color theme="6"/>
      </font>
    </dxf>
    <dxf>
      <font>
        <b/>
        <i val="0"/>
        <color theme="6"/>
      </font>
    </dxf>
    <dxf>
      <font>
        <b/>
        <i val="0"/>
        <color theme="6"/>
      </font>
    </dxf>
    <dxf>
      <font>
        <b/>
        <i val="0"/>
        <color theme="6"/>
      </font>
    </dxf>
    <dxf>
      <font>
        <b/>
        <i val="0"/>
        <color theme="6"/>
      </font>
    </dxf>
    <dxf>
      <font>
        <b/>
        <i val="0"/>
        <color theme="6"/>
      </font>
    </dxf>
    <dxf>
      <font>
        <b/>
        <i val="0"/>
        <color theme="6"/>
      </font>
    </dxf>
    <dxf>
      <font>
        <b/>
        <i val="0"/>
        <color theme="6"/>
      </font>
    </dxf>
    <dxf>
      <font>
        <b/>
        <i val="0"/>
        <color theme="6"/>
      </font>
    </dxf>
  </dxfs>
  <tableStyles count="0" defaultTableStyle="TableStyleMedium2" defaultPivotStyle="PivotStyleLight16"/>
  <colors>
    <mruColors>
      <color rgb="FFFADCD6"/>
      <color rgb="FFFFE9D0"/>
      <color rgb="FF2C5C84"/>
      <color rgb="FFFFB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15875</xdr:rowOff>
    </xdr:from>
    <xdr:to>
      <xdr:col>1</xdr:col>
      <xdr:colOff>787400</xdr:colOff>
      <xdr:row>1</xdr:row>
      <xdr:rowOff>123144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330B95-DF4F-6B5B-3699-544A5EFE6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5875"/>
          <a:ext cx="1362075" cy="60256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MT ARTOIS">
      <a:dk1>
        <a:sysClr val="windowText" lastClr="000000"/>
      </a:dk1>
      <a:lt1>
        <a:sysClr val="window" lastClr="FFFFFF"/>
      </a:lt1>
      <a:dk2>
        <a:srgbClr val="AC2F7B"/>
      </a:dk2>
      <a:lt2>
        <a:srgbClr val="E7E6E6"/>
      </a:lt2>
      <a:accent1>
        <a:srgbClr val="FF961E"/>
      </a:accent1>
      <a:accent2>
        <a:srgbClr val="4DBFCA"/>
      </a:accent2>
      <a:accent3>
        <a:srgbClr val="E65433"/>
      </a:accent3>
      <a:accent4>
        <a:srgbClr val="2C5C84"/>
      </a:accent4>
      <a:accent5>
        <a:srgbClr val="70AD47"/>
      </a:accent5>
      <a:accent6>
        <a:srgbClr val="FFC000"/>
      </a:accent6>
      <a:hlink>
        <a:srgbClr val="A5A5A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3"/>
  <sheetViews>
    <sheetView showGridLines="0" tabSelected="1" zoomScale="85" zoomScaleNormal="85" workbookViewId="0">
      <selection activeCell="A13" sqref="A13:G13"/>
    </sheetView>
  </sheetViews>
  <sheetFormatPr baseColWidth="10" defaultColWidth="10.81640625" defaultRowHeight="12.5" x14ac:dyDescent="0.25"/>
  <cols>
    <col min="1" max="1" width="10.453125" style="478" customWidth="1"/>
    <col min="2" max="2" width="12" style="478" customWidth="1"/>
    <col min="3" max="3" width="15.54296875" style="478" customWidth="1"/>
    <col min="4" max="4" width="12.453125" style="478" bestFit="1" customWidth="1"/>
    <col min="5" max="7" width="19.26953125" style="478" customWidth="1"/>
    <col min="8" max="16384" width="10.81640625" style="478"/>
  </cols>
  <sheetData>
    <row r="1" spans="1:7" ht="39" customHeight="1" x14ac:dyDescent="0.3">
      <c r="A1" s="98"/>
      <c r="B1" s="98"/>
      <c r="C1" s="651" t="s">
        <v>406</v>
      </c>
      <c r="D1" s="652"/>
      <c r="E1" s="652"/>
      <c r="F1" s="652"/>
      <c r="G1" s="653"/>
    </row>
    <row r="2" spans="1:7" ht="13" x14ac:dyDescent="0.3">
      <c r="A2" s="98"/>
      <c r="B2" s="98"/>
      <c r="C2" s="98"/>
      <c r="D2" s="98"/>
      <c r="E2" s="98"/>
      <c r="F2" s="98"/>
      <c r="G2" s="98"/>
    </row>
    <row r="3" spans="1:7" ht="13" x14ac:dyDescent="0.3">
      <c r="A3" s="479" t="s">
        <v>399</v>
      </c>
      <c r="B3" s="654" t="s">
        <v>499</v>
      </c>
      <c r="C3" s="654"/>
      <c r="D3" s="655"/>
      <c r="E3" s="98"/>
      <c r="F3" s="98"/>
      <c r="G3" s="98"/>
    </row>
    <row r="4" spans="1:7" ht="13" x14ac:dyDescent="0.3">
      <c r="A4" s="98"/>
      <c r="B4" s="98"/>
      <c r="C4" s="98"/>
      <c r="D4" s="98"/>
      <c r="E4" s="98"/>
      <c r="F4" s="98"/>
      <c r="G4" s="98"/>
    </row>
    <row r="5" spans="1:7" ht="13" x14ac:dyDescent="0.3">
      <c r="A5" s="656" t="s">
        <v>403</v>
      </c>
      <c r="B5" s="656"/>
      <c r="C5" s="656"/>
      <c r="D5" s="480" t="s">
        <v>404</v>
      </c>
      <c r="E5" s="481"/>
      <c r="F5" s="481"/>
      <c r="G5" s="481"/>
    </row>
    <row r="6" spans="1:7" ht="13" x14ac:dyDescent="0.3">
      <c r="A6" s="98"/>
      <c r="B6" s="98"/>
      <c r="C6" s="98"/>
      <c r="D6" s="98"/>
      <c r="E6" s="98"/>
      <c r="F6" s="98"/>
      <c r="G6" s="98"/>
    </row>
    <row r="7" spans="1:7" ht="13" x14ac:dyDescent="0.3">
      <c r="A7" s="657" t="s">
        <v>400</v>
      </c>
      <c r="B7" s="657"/>
      <c r="C7" s="657"/>
      <c r="D7" s="657"/>
      <c r="E7" s="657"/>
      <c r="F7" s="98"/>
      <c r="G7" s="98"/>
    </row>
    <row r="8" spans="1:7" ht="55" customHeight="1" x14ac:dyDescent="0.25">
      <c r="A8" s="650" t="s">
        <v>498</v>
      </c>
      <c r="B8" s="650"/>
      <c r="C8" s="650"/>
      <c r="D8" s="650"/>
      <c r="E8" s="650"/>
      <c r="F8" s="650"/>
      <c r="G8" s="650"/>
    </row>
    <row r="9" spans="1:7" ht="29.5" customHeight="1" x14ac:dyDescent="0.25">
      <c r="A9" s="650" t="s">
        <v>436</v>
      </c>
      <c r="B9" s="650"/>
      <c r="C9" s="650"/>
      <c r="D9" s="650"/>
      <c r="E9" s="650"/>
      <c r="F9" s="650"/>
      <c r="G9" s="650"/>
    </row>
    <row r="10" spans="1:7" ht="13" x14ac:dyDescent="0.25">
      <c r="A10" s="650" t="s">
        <v>437</v>
      </c>
      <c r="B10" s="650"/>
      <c r="C10" s="650"/>
      <c r="D10" s="650"/>
      <c r="E10" s="650"/>
      <c r="F10" s="650"/>
      <c r="G10" s="650"/>
    </row>
    <row r="11" spans="1:7" ht="13" x14ac:dyDescent="0.25">
      <c r="A11" s="650" t="s">
        <v>438</v>
      </c>
      <c r="B11" s="650"/>
      <c r="C11" s="650"/>
      <c r="D11" s="650"/>
      <c r="E11" s="650"/>
      <c r="F11" s="650"/>
      <c r="G11" s="650"/>
    </row>
    <row r="12" spans="1:7" ht="13" x14ac:dyDescent="0.25">
      <c r="A12" s="650" t="s">
        <v>439</v>
      </c>
      <c r="B12" s="650"/>
      <c r="C12" s="650"/>
      <c r="D12" s="650"/>
      <c r="E12" s="650"/>
      <c r="F12" s="650"/>
      <c r="G12" s="650"/>
    </row>
    <row r="13" spans="1:7" ht="13" x14ac:dyDescent="0.25">
      <c r="A13" s="650" t="s">
        <v>440</v>
      </c>
      <c r="B13" s="650"/>
      <c r="C13" s="650"/>
      <c r="D13" s="650"/>
      <c r="E13" s="650"/>
      <c r="F13" s="650"/>
      <c r="G13" s="650"/>
    </row>
    <row r="14" spans="1:7" ht="13" x14ac:dyDescent="0.25">
      <c r="A14" s="650" t="s">
        <v>441</v>
      </c>
      <c r="B14" s="650"/>
      <c r="C14" s="650"/>
      <c r="D14" s="650"/>
      <c r="E14" s="650"/>
      <c r="F14" s="650"/>
      <c r="G14" s="650"/>
    </row>
    <row r="15" spans="1:7" ht="26.15" customHeight="1" x14ac:dyDescent="0.25">
      <c r="A15" s="650" t="s">
        <v>497</v>
      </c>
      <c r="B15" s="650"/>
      <c r="C15" s="650"/>
      <c r="D15" s="650"/>
      <c r="E15" s="650"/>
      <c r="F15" s="650"/>
      <c r="G15" s="650"/>
    </row>
    <row r="16" spans="1:7" ht="13" x14ac:dyDescent="0.25">
      <c r="A16" s="650" t="s">
        <v>442</v>
      </c>
      <c r="B16" s="650"/>
      <c r="C16" s="650"/>
      <c r="D16" s="650"/>
      <c r="E16" s="650"/>
      <c r="F16" s="650"/>
      <c r="G16" s="650"/>
    </row>
    <row r="17" spans="1:7" ht="29.5" customHeight="1" x14ac:dyDescent="0.25">
      <c r="A17" s="650" t="s">
        <v>443</v>
      </c>
      <c r="B17" s="650"/>
      <c r="C17" s="650"/>
      <c r="D17" s="650"/>
      <c r="E17" s="650"/>
      <c r="F17" s="650"/>
      <c r="G17" s="650"/>
    </row>
    <row r="18" spans="1:7" ht="26.5" customHeight="1" x14ac:dyDescent="0.25">
      <c r="A18" s="650" t="s">
        <v>444</v>
      </c>
      <c r="B18" s="650"/>
      <c r="C18" s="650"/>
      <c r="D18" s="650"/>
      <c r="E18" s="650"/>
      <c r="F18" s="650"/>
      <c r="G18" s="650"/>
    </row>
    <row r="19" spans="1:7" ht="13" x14ac:dyDescent="0.25">
      <c r="A19" s="650" t="s">
        <v>458</v>
      </c>
      <c r="B19" s="650"/>
      <c r="C19" s="650"/>
      <c r="D19" s="650"/>
      <c r="E19" s="650"/>
      <c r="F19" s="650"/>
      <c r="G19" s="650"/>
    </row>
    <row r="20" spans="1:7" ht="13" x14ac:dyDescent="0.25">
      <c r="A20" s="650" t="s">
        <v>405</v>
      </c>
      <c r="B20" s="650"/>
      <c r="C20" s="650"/>
      <c r="D20" s="650"/>
      <c r="E20" s="650"/>
      <c r="F20" s="650"/>
      <c r="G20" s="650"/>
    </row>
    <row r="21" spans="1:7" ht="13" x14ac:dyDescent="0.3">
      <c r="A21" s="107"/>
      <c r="B21" s="107"/>
      <c r="C21" s="107"/>
      <c r="D21" s="107"/>
      <c r="E21" s="107"/>
      <c r="F21" s="98"/>
      <c r="G21" s="98"/>
    </row>
    <row r="22" spans="1:7" ht="13" x14ac:dyDescent="0.3">
      <c r="A22" s="661" t="s">
        <v>401</v>
      </c>
      <c r="B22" s="662"/>
      <c r="C22" s="662"/>
      <c r="D22" s="663"/>
      <c r="E22" s="482"/>
      <c r="F22" s="98"/>
      <c r="G22" s="98"/>
    </row>
    <row r="23" spans="1:7" ht="13" x14ac:dyDescent="0.3">
      <c r="A23" s="658" t="s">
        <v>402</v>
      </c>
      <c r="B23" s="659"/>
      <c r="C23" s="659"/>
      <c r="D23" s="660"/>
      <c r="E23" s="98"/>
      <c r="F23" s="98"/>
      <c r="G23" s="98"/>
    </row>
  </sheetData>
  <mergeCells count="19">
    <mergeCell ref="A23:D23"/>
    <mergeCell ref="A22:D22"/>
    <mergeCell ref="A18:G18"/>
    <mergeCell ref="A16:G16"/>
    <mergeCell ref="A17:G17"/>
    <mergeCell ref="A20:G20"/>
    <mergeCell ref="A19:G19"/>
    <mergeCell ref="A9:G9"/>
    <mergeCell ref="A15:G15"/>
    <mergeCell ref="A10:G10"/>
    <mergeCell ref="A11:G11"/>
    <mergeCell ref="C1:G1"/>
    <mergeCell ref="A12:G12"/>
    <mergeCell ref="A13:G13"/>
    <mergeCell ref="A14:G14"/>
    <mergeCell ref="B3:D3"/>
    <mergeCell ref="A5:C5"/>
    <mergeCell ref="A7:E7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</sheetPr>
  <dimension ref="A1:P217"/>
  <sheetViews>
    <sheetView showGridLines="0" view="pageBreakPreview" zoomScale="85" zoomScaleNormal="100" zoomScaleSheetLayoutView="85" workbookViewId="0">
      <selection sqref="A1:H1"/>
    </sheetView>
  </sheetViews>
  <sheetFormatPr baseColWidth="10" defaultColWidth="11.26953125" defaultRowHeight="13.15" customHeight="1" x14ac:dyDescent="0.3"/>
  <cols>
    <col min="1" max="1" width="49.1796875" style="2" bestFit="1" customWidth="1"/>
    <col min="2" max="2" width="9.81640625" style="2" bestFit="1" customWidth="1"/>
    <col min="3" max="7" width="19" style="2" customWidth="1"/>
    <col min="8" max="8" width="10.1796875" style="2" customWidth="1"/>
    <col min="9" max="10" width="11.26953125" style="268"/>
    <col min="11" max="16384" width="11.26953125" style="2"/>
  </cols>
  <sheetData>
    <row r="1" spans="1:16" ht="29.5" customHeight="1" x14ac:dyDescent="0.3">
      <c r="A1" s="664" t="s">
        <v>523</v>
      </c>
      <c r="B1" s="665"/>
      <c r="C1" s="665"/>
      <c r="D1" s="665"/>
      <c r="E1" s="665"/>
      <c r="F1" s="665"/>
      <c r="G1" s="665"/>
      <c r="H1" s="665"/>
    </row>
    <row r="2" spans="1:16" ht="13" x14ac:dyDescent="0.3">
      <c r="B2" s="11"/>
      <c r="C2" s="11"/>
      <c r="D2" s="11"/>
      <c r="I2" s="2"/>
      <c r="J2" s="2"/>
    </row>
    <row r="3" spans="1:16" ht="13" x14ac:dyDescent="0.3">
      <c r="A3" s="21" t="s">
        <v>420</v>
      </c>
      <c r="B3" s="153"/>
      <c r="C3" s="153"/>
      <c r="D3" s="153"/>
      <c r="E3" s="153"/>
      <c r="F3" s="153"/>
      <c r="G3" s="153"/>
      <c r="H3" s="153"/>
      <c r="I3" s="2"/>
      <c r="J3" s="676" t="s">
        <v>431</v>
      </c>
    </row>
    <row r="4" spans="1:16" ht="13" x14ac:dyDescent="0.3">
      <c r="B4" s="11"/>
      <c r="C4" s="11"/>
      <c r="D4" s="11"/>
      <c r="I4" s="2"/>
      <c r="J4" s="676"/>
    </row>
    <row r="5" spans="1:16" ht="13" x14ac:dyDescent="0.3">
      <c r="A5" s="42" t="s">
        <v>74</v>
      </c>
      <c r="B5" s="44"/>
      <c r="C5" s="44"/>
      <c r="D5" s="44"/>
      <c r="E5" s="44"/>
      <c r="F5" s="44"/>
      <c r="G5" s="44"/>
      <c r="H5" s="44"/>
      <c r="I5" s="2"/>
      <c r="J5" s="676"/>
    </row>
    <row r="6" spans="1:16" ht="14.5" x14ac:dyDescent="0.35">
      <c r="B6" s="484" t="s">
        <v>423</v>
      </c>
      <c r="C6" s="677" t="s">
        <v>424</v>
      </c>
      <c r="D6" s="677"/>
      <c r="E6" s="677"/>
      <c r="F6" s="677"/>
      <c r="G6" s="677"/>
      <c r="H6" s="484" t="s">
        <v>425</v>
      </c>
      <c r="I6" s="28"/>
      <c r="J6" s="28"/>
      <c r="K6" s="5"/>
      <c r="L6"/>
    </row>
    <row r="7" spans="1:16" ht="13" x14ac:dyDescent="0.3">
      <c r="A7" s="668" t="s">
        <v>375</v>
      </c>
      <c r="B7" s="4">
        <v>2021</v>
      </c>
      <c r="C7" s="670" t="s">
        <v>426</v>
      </c>
      <c r="D7" s="674" t="s">
        <v>427</v>
      </c>
      <c r="E7" s="674" t="s">
        <v>428</v>
      </c>
      <c r="F7" s="674" t="s">
        <v>429</v>
      </c>
      <c r="G7" s="672" t="s">
        <v>430</v>
      </c>
      <c r="H7" s="4">
        <f>Annee</f>
        <v>2024</v>
      </c>
      <c r="I7" s="2"/>
      <c r="J7" s="2"/>
    </row>
    <row r="8" spans="1:16" ht="13" x14ac:dyDescent="0.3">
      <c r="A8" s="669"/>
      <c r="B8" s="78">
        <v>12</v>
      </c>
      <c r="C8" s="671"/>
      <c r="D8" s="675"/>
      <c r="E8" s="675"/>
      <c r="F8" s="675"/>
      <c r="G8" s="673"/>
      <c r="H8" s="306">
        <v>12</v>
      </c>
      <c r="I8" s="2"/>
      <c r="J8" s="2"/>
    </row>
    <row r="9" spans="1:16" ht="13" x14ac:dyDescent="0.3">
      <c r="A9" s="302" t="s">
        <v>356</v>
      </c>
      <c r="B9" s="546">
        <v>9143974.4153953269</v>
      </c>
      <c r="C9" s="491">
        <v>226038.46682798822</v>
      </c>
      <c r="D9" s="483">
        <v>0</v>
      </c>
      <c r="E9" s="483">
        <v>0</v>
      </c>
      <c r="F9" s="483">
        <v>3256235.7172372877</v>
      </c>
      <c r="G9" s="492">
        <v>561546.4883117415</v>
      </c>
      <c r="H9" s="329">
        <f>'2. CEP offre de base'!C5</f>
        <v>13187795.08777234</v>
      </c>
      <c r="I9" s="11"/>
      <c r="J9" s="242" t="str">
        <f>IF(SUM(B9:G9)=H9,"",FALSE)</f>
        <v/>
      </c>
      <c r="K9" s="542"/>
      <c r="M9" s="11"/>
      <c r="P9" s="11"/>
    </row>
    <row r="10" spans="1:16" ht="13" x14ac:dyDescent="0.3">
      <c r="A10" s="36" t="s">
        <v>332</v>
      </c>
      <c r="B10" s="175">
        <v>34937.494610249079</v>
      </c>
      <c r="C10" s="315">
        <v>1257.2457014088939</v>
      </c>
      <c r="D10" s="316">
        <v>0</v>
      </c>
      <c r="E10" s="316">
        <v>0</v>
      </c>
      <c r="F10" s="316">
        <v>12457.491333421129</v>
      </c>
      <c r="G10" s="317">
        <v>20457.484269618966</v>
      </c>
      <c r="H10" s="157">
        <f>'2. CEP offre de base'!C6</f>
        <v>69109.71591469807</v>
      </c>
      <c r="I10" s="11"/>
      <c r="J10" s="242" t="str">
        <f>IF(SUM(B10:G10)=H10,"",FALSE)</f>
        <v/>
      </c>
      <c r="K10" s="542"/>
      <c r="M10" s="11"/>
      <c r="P10" s="11"/>
    </row>
    <row r="11" spans="1:16" ht="13" x14ac:dyDescent="0.3">
      <c r="A11" s="36" t="s">
        <v>463</v>
      </c>
      <c r="B11" s="175">
        <v>7767.8287509081729</v>
      </c>
      <c r="C11" s="315">
        <v>0</v>
      </c>
      <c r="D11" s="316">
        <v>0</v>
      </c>
      <c r="E11" s="316">
        <v>0</v>
      </c>
      <c r="F11" s="316">
        <v>2769.7366517961705</v>
      </c>
      <c r="G11" s="317">
        <v>6739.8635759701738</v>
      </c>
      <c r="H11" s="157">
        <f>'2. CEP offre de base'!C7</f>
        <v>17277.428978674518</v>
      </c>
      <c r="I11" s="11"/>
      <c r="J11" s="242" t="str">
        <f>IF(SUM(B11:G11)=H11,"",FALSE)</f>
        <v/>
      </c>
      <c r="K11" s="542"/>
      <c r="M11" s="11"/>
      <c r="P11" s="11"/>
    </row>
    <row r="12" spans="1:16" ht="13" x14ac:dyDescent="0.3">
      <c r="A12" s="36" t="s">
        <v>360</v>
      </c>
      <c r="B12" s="175">
        <v>8154.2612435166857</v>
      </c>
      <c r="C12" s="315">
        <v>4186.4539448326695</v>
      </c>
      <c r="D12" s="316">
        <v>0</v>
      </c>
      <c r="E12" s="316">
        <v>0</v>
      </c>
      <c r="F12" s="316">
        <v>2907.5249929845127</v>
      </c>
      <c r="G12" s="317">
        <v>899.51074873500511</v>
      </c>
      <c r="H12" s="157">
        <f>'2. CEP offre de base'!C8</f>
        <v>16147.750930068876</v>
      </c>
      <c r="I12" s="11"/>
      <c r="J12" s="242" t="str">
        <f>IF(SUM(B12:G12)=H12,"",FALSE)</f>
        <v/>
      </c>
      <c r="K12" s="542"/>
      <c r="M12" s="11"/>
      <c r="P12" s="11"/>
    </row>
    <row r="13" spans="1:16" ht="13" x14ac:dyDescent="0.3">
      <c r="A13" s="617" t="s">
        <v>532</v>
      </c>
      <c r="B13" s="622">
        <v>1433692</v>
      </c>
      <c r="C13" s="619">
        <v>30124.242373238783</v>
      </c>
      <c r="D13" s="619">
        <v>0</v>
      </c>
      <c r="E13" s="619">
        <v>0</v>
      </c>
      <c r="F13" s="619">
        <v>743186.62166330218</v>
      </c>
      <c r="G13" s="620">
        <v>186838.54488854762</v>
      </c>
      <c r="H13" s="620">
        <f>'2. CEP offre de base'!C9</f>
        <v>2393841.4089250886</v>
      </c>
      <c r="I13" s="11"/>
      <c r="J13" s="242"/>
      <c r="K13" s="542"/>
      <c r="M13" s="11"/>
      <c r="P13" s="11"/>
    </row>
    <row r="14" spans="1:16" s="5" customFormat="1" ht="13" x14ac:dyDescent="0.3">
      <c r="A14" s="96" t="s">
        <v>372</v>
      </c>
      <c r="B14" s="547">
        <f>SUM(B9:B13)</f>
        <v>10628526.000000002</v>
      </c>
      <c r="C14" s="19">
        <f>SUM(C9:C13)</f>
        <v>261606.40884746856</v>
      </c>
      <c r="D14" s="19">
        <f t="shared" ref="D14:G14" si="0">SUM(D9:D13)</f>
        <v>0</v>
      </c>
      <c r="E14" s="19">
        <f t="shared" si="0"/>
        <v>0</v>
      </c>
      <c r="F14" s="19">
        <f t="shared" si="0"/>
        <v>4017557.0918787923</v>
      </c>
      <c r="G14" s="19">
        <f t="shared" si="0"/>
        <v>776481.89179461333</v>
      </c>
      <c r="H14" s="35">
        <f>SUM(H9:H13)</f>
        <v>15684171.392520869</v>
      </c>
      <c r="I14" s="2"/>
      <c r="J14" s="242" t="str">
        <f>IF(SUM(B14:G14)=H14,"",FALSE)</f>
        <v/>
      </c>
      <c r="K14" s="542"/>
      <c r="L14" s="2"/>
    </row>
    <row r="15" spans="1:16" ht="13" x14ac:dyDescent="0.3">
      <c r="B15" s="17"/>
      <c r="C15" s="566"/>
      <c r="D15" s="13"/>
      <c r="E15" s="13"/>
      <c r="F15" s="13"/>
      <c r="G15" s="13"/>
      <c r="H15" s="13"/>
      <c r="I15" s="2"/>
      <c r="J15" s="542"/>
      <c r="K15" s="542"/>
      <c r="L15" s="542"/>
    </row>
    <row r="16" spans="1:16" ht="13" x14ac:dyDescent="0.3">
      <c r="A16" s="668" t="s">
        <v>201</v>
      </c>
      <c r="B16" s="4">
        <v>2021</v>
      </c>
      <c r="C16" s="670" t="s">
        <v>426</v>
      </c>
      <c r="D16" s="674" t="s">
        <v>427</v>
      </c>
      <c r="E16" s="674" t="s">
        <v>428</v>
      </c>
      <c r="F16" s="674" t="s">
        <v>429</v>
      </c>
      <c r="G16" s="672" t="s">
        <v>430</v>
      </c>
      <c r="H16" s="4">
        <f>Annee</f>
        <v>2024</v>
      </c>
      <c r="I16" s="2"/>
      <c r="J16" s="2"/>
    </row>
    <row r="17" spans="1:16" ht="13" x14ac:dyDescent="0.3">
      <c r="A17" s="669"/>
      <c r="B17" s="78">
        <v>12</v>
      </c>
      <c r="C17" s="671"/>
      <c r="D17" s="675"/>
      <c r="E17" s="675"/>
      <c r="F17" s="675"/>
      <c r="G17" s="673"/>
      <c r="H17" s="306">
        <v>12</v>
      </c>
      <c r="I17" s="2"/>
      <c r="J17" s="2"/>
    </row>
    <row r="18" spans="1:16" ht="13" x14ac:dyDescent="0.3">
      <c r="A18" s="302" t="s">
        <v>66</v>
      </c>
      <c r="B18" s="546">
        <v>3928529</v>
      </c>
      <c r="C18" s="491">
        <v>106406.6920483905</v>
      </c>
      <c r="D18" s="483">
        <v>0</v>
      </c>
      <c r="E18" s="483">
        <v>0</v>
      </c>
      <c r="F18" s="483">
        <v>1000114.6990937318</v>
      </c>
      <c r="G18" s="492">
        <v>230246.72269365657</v>
      </c>
      <c r="H18" s="329">
        <f>'2. CEP offre de base'!C14</f>
        <v>5265297.113835779</v>
      </c>
      <c r="I18" s="11"/>
      <c r="J18" s="242" t="str">
        <f t="shared" ref="J18:J20" si="1">IF(SUM(B18:G18)=H18,"",FALSE)</f>
        <v/>
      </c>
      <c r="K18" s="542"/>
      <c r="M18" s="11"/>
      <c r="P18" s="11"/>
    </row>
    <row r="19" spans="1:16" ht="13" x14ac:dyDescent="0.3">
      <c r="A19" s="36" t="s">
        <v>334</v>
      </c>
      <c r="B19" s="175">
        <v>71250</v>
      </c>
      <c r="C19" s="315">
        <v>0</v>
      </c>
      <c r="D19" s="316">
        <v>0</v>
      </c>
      <c r="E19" s="316">
        <v>0</v>
      </c>
      <c r="F19" s="316">
        <v>0</v>
      </c>
      <c r="G19" s="317">
        <v>23750</v>
      </c>
      <c r="H19" s="157">
        <f>'2. CEP offre de base'!C15</f>
        <v>95000</v>
      </c>
      <c r="I19" s="11"/>
      <c r="J19" s="242" t="str">
        <f t="shared" si="1"/>
        <v/>
      </c>
      <c r="K19" s="542"/>
      <c r="M19" s="11"/>
      <c r="P19" s="11"/>
    </row>
    <row r="20" spans="1:16" ht="13" x14ac:dyDescent="0.3">
      <c r="A20" s="59" t="s">
        <v>67</v>
      </c>
      <c r="B20" s="176">
        <v>258038</v>
      </c>
      <c r="C20" s="439">
        <v>1245.4891734150185</v>
      </c>
      <c r="D20" s="321">
        <v>0</v>
      </c>
      <c r="E20" s="321">
        <v>0</v>
      </c>
      <c r="F20" s="321">
        <v>12535.31082658497</v>
      </c>
      <c r="G20" s="493">
        <v>-45818</v>
      </c>
      <c r="H20" s="183">
        <f>'2. CEP offre de base'!C16</f>
        <v>226000.8</v>
      </c>
      <c r="I20" s="11"/>
      <c r="J20" s="242" t="str">
        <f t="shared" si="1"/>
        <v/>
      </c>
      <c r="K20" s="542"/>
      <c r="M20" s="11"/>
      <c r="P20" s="11"/>
    </row>
    <row r="21" spans="1:16" s="5" customFormat="1" ht="13" x14ac:dyDescent="0.3">
      <c r="A21" s="96" t="s">
        <v>207</v>
      </c>
      <c r="B21" s="547">
        <f>SUM(B18:B20)</f>
        <v>4257817</v>
      </c>
      <c r="C21" s="19">
        <f>SUM(C18:C20)</f>
        <v>107652.18122180551</v>
      </c>
      <c r="D21" s="19">
        <f t="shared" ref="D21:H21" si="2">SUM(D18:D20)</f>
        <v>0</v>
      </c>
      <c r="E21" s="19">
        <f t="shared" si="2"/>
        <v>0</v>
      </c>
      <c r="F21" s="19">
        <f t="shared" si="2"/>
        <v>1012650.0099203167</v>
      </c>
      <c r="G21" s="19">
        <f t="shared" si="2"/>
        <v>208178.72269365657</v>
      </c>
      <c r="H21" s="35">
        <f t="shared" si="2"/>
        <v>5586297.9138357788</v>
      </c>
      <c r="I21" s="2"/>
      <c r="J21" s="242" t="str">
        <f>IF(SUM(B21:G21)=H21,"",FALSE)</f>
        <v/>
      </c>
      <c r="K21" s="550"/>
      <c r="L21" s="2"/>
    </row>
    <row r="22" spans="1:16" ht="13" x14ac:dyDescent="0.3">
      <c r="B22" s="17"/>
      <c r="C22" s="13">
        <f>1%*B25</f>
        <v>3.5807000000000002</v>
      </c>
      <c r="D22" s="13"/>
      <c r="E22" s="13"/>
      <c r="F22" s="13"/>
      <c r="G22" s="13"/>
      <c r="H22" s="13"/>
      <c r="I22" s="2"/>
      <c r="J22" s="550"/>
      <c r="K22" s="550"/>
      <c r="L22" s="550"/>
    </row>
    <row r="23" spans="1:16" ht="13" x14ac:dyDescent="0.3">
      <c r="A23" s="668" t="s">
        <v>78</v>
      </c>
      <c r="B23" s="4">
        <v>2021</v>
      </c>
      <c r="C23" s="670" t="s">
        <v>426</v>
      </c>
      <c r="D23" s="674" t="s">
        <v>427</v>
      </c>
      <c r="E23" s="674" t="s">
        <v>428</v>
      </c>
      <c r="F23" s="674" t="s">
        <v>429</v>
      </c>
      <c r="G23" s="672" t="s">
        <v>430</v>
      </c>
      <c r="H23" s="4">
        <f>Annee</f>
        <v>2024</v>
      </c>
      <c r="I23" s="2"/>
      <c r="J23" s="2"/>
    </row>
    <row r="24" spans="1:16" ht="14.5" customHeight="1" x14ac:dyDescent="0.3">
      <c r="A24" s="669"/>
      <c r="B24" s="78">
        <v>12</v>
      </c>
      <c r="C24" s="671"/>
      <c r="D24" s="675"/>
      <c r="E24" s="675"/>
      <c r="F24" s="675"/>
      <c r="G24" s="673"/>
      <c r="H24" s="306">
        <v>12</v>
      </c>
      <c r="I24" s="2"/>
      <c r="J24" s="2"/>
    </row>
    <row r="25" spans="1:16" ht="13" x14ac:dyDescent="0.3">
      <c r="A25" s="36" t="s">
        <v>289</v>
      </c>
      <c r="B25" s="485">
        <f>358.07</f>
        <v>358.07</v>
      </c>
      <c r="C25" s="338">
        <v>4</v>
      </c>
      <c r="D25" s="338"/>
      <c r="E25" s="338"/>
      <c r="F25" s="338"/>
      <c r="G25" s="338">
        <f>H25-SUM(B25:C25)</f>
        <v>12.718579234972651</v>
      </c>
      <c r="H25" s="485">
        <f>'4a'!C461</f>
        <v>374.78857923497264</v>
      </c>
      <c r="I25" s="31"/>
      <c r="J25" s="242" t="str">
        <f>IF(SUM(B25:G25)=H25,"",FALSE)</f>
        <v/>
      </c>
    </row>
    <row r="26" spans="1:16" ht="13" x14ac:dyDescent="0.3">
      <c r="A26" s="36" t="s">
        <v>411</v>
      </c>
      <c r="B26" s="485">
        <v>20.8</v>
      </c>
      <c r="C26" s="338"/>
      <c r="D26" s="338"/>
      <c r="E26" s="338"/>
      <c r="F26" s="338"/>
      <c r="G26" s="338"/>
      <c r="H26" s="485">
        <f>'4a'!C462</f>
        <v>20.8</v>
      </c>
      <c r="I26" s="2"/>
      <c r="J26" s="242" t="str">
        <f>IF(SUM(B26:G26)=H26,"",FALSE)</f>
        <v/>
      </c>
      <c r="K26" s="567"/>
    </row>
    <row r="27" spans="1:16" ht="13" x14ac:dyDescent="0.3">
      <c r="A27" s="36" t="s">
        <v>412</v>
      </c>
      <c r="B27" s="486"/>
      <c r="C27" s="327"/>
      <c r="D27" s="327"/>
      <c r="E27" s="327"/>
      <c r="F27" s="327"/>
      <c r="G27" s="327"/>
      <c r="H27" s="485">
        <f>'4a'!C463</f>
        <v>0</v>
      </c>
      <c r="I27" s="2"/>
      <c r="J27" s="242" t="str">
        <f t="shared" ref="J27:J30" si="3">IF(SUM(B27:G27)=H27,"",FALSE)</f>
        <v/>
      </c>
    </row>
    <row r="28" spans="1:16" ht="13" x14ac:dyDescent="0.3">
      <c r="A28" s="36"/>
      <c r="B28" s="486"/>
      <c r="C28" s="327"/>
      <c r="D28" s="327"/>
      <c r="E28" s="327"/>
      <c r="F28" s="327"/>
      <c r="G28" s="327"/>
      <c r="H28" s="485">
        <f>'4a'!C464</f>
        <v>0</v>
      </c>
      <c r="I28" s="2"/>
      <c r="J28" s="242" t="str">
        <f t="shared" si="3"/>
        <v/>
      </c>
    </row>
    <row r="29" spans="1:16" ht="13" x14ac:dyDescent="0.3">
      <c r="B29" s="486"/>
      <c r="C29" s="327"/>
      <c r="D29" s="327"/>
      <c r="E29" s="327"/>
      <c r="F29" s="327"/>
      <c r="G29" s="327"/>
      <c r="H29" s="485">
        <f>'4a'!C465</f>
        <v>0</v>
      </c>
      <c r="I29" s="2"/>
      <c r="J29" s="242" t="str">
        <f t="shared" si="3"/>
        <v/>
      </c>
    </row>
    <row r="30" spans="1:16" ht="13" x14ac:dyDescent="0.3">
      <c r="A30" s="36"/>
      <c r="B30" s="486"/>
      <c r="C30" s="327"/>
      <c r="D30" s="327"/>
      <c r="E30" s="327"/>
      <c r="F30" s="327"/>
      <c r="G30" s="327"/>
      <c r="H30" s="485">
        <f>'4a'!C466</f>
        <v>0</v>
      </c>
      <c r="I30" s="2"/>
      <c r="J30" s="242" t="str">
        <f t="shared" si="3"/>
        <v/>
      </c>
    </row>
    <row r="31" spans="1:16" ht="13" x14ac:dyDescent="0.3">
      <c r="A31" s="342" t="s">
        <v>418</v>
      </c>
      <c r="B31" s="159">
        <f>SUM(B25:B30)</f>
        <v>378.87</v>
      </c>
      <c r="C31" s="341">
        <f t="shared" ref="C31:H31" si="4">SUM(C25:C30)</f>
        <v>4</v>
      </c>
      <c r="D31" s="341">
        <f t="shared" si="4"/>
        <v>0</v>
      </c>
      <c r="E31" s="341">
        <f t="shared" ref="E31" si="5">SUM(E25:E30)</f>
        <v>0</v>
      </c>
      <c r="F31" s="341">
        <f t="shared" si="4"/>
        <v>0</v>
      </c>
      <c r="G31" s="341">
        <f t="shared" si="4"/>
        <v>12.718579234972651</v>
      </c>
      <c r="H31" s="159">
        <f t="shared" si="4"/>
        <v>395.58857923497266</v>
      </c>
      <c r="I31" s="2"/>
      <c r="J31" s="242" t="str">
        <f>IF(SUM(B31:G31)=H31,"",FALSE)</f>
        <v/>
      </c>
    </row>
    <row r="32" spans="1:16" ht="13" x14ac:dyDescent="0.3">
      <c r="B32" s="11"/>
      <c r="C32" s="11"/>
      <c r="D32" s="58"/>
      <c r="E32" s="11"/>
      <c r="F32" s="11"/>
      <c r="G32" s="11"/>
      <c r="H32" s="11"/>
      <c r="I32" s="2"/>
      <c r="J32" s="2"/>
    </row>
    <row r="33" spans="1:11" ht="13" x14ac:dyDescent="0.3">
      <c r="A33" s="670" t="s">
        <v>297</v>
      </c>
      <c r="B33" s="4">
        <v>2021</v>
      </c>
      <c r="C33" s="670" t="s">
        <v>426</v>
      </c>
      <c r="D33" s="674" t="s">
        <v>427</v>
      </c>
      <c r="E33" s="674" t="s">
        <v>428</v>
      </c>
      <c r="F33" s="674" t="s">
        <v>429</v>
      </c>
      <c r="G33" s="672" t="s">
        <v>430</v>
      </c>
      <c r="H33" s="4">
        <f>Annee</f>
        <v>2024</v>
      </c>
      <c r="I33" s="2"/>
      <c r="J33" s="2"/>
    </row>
    <row r="34" spans="1:11" ht="13" x14ac:dyDescent="0.3">
      <c r="A34" s="667"/>
      <c r="B34" s="78">
        <v>12</v>
      </c>
      <c r="C34" s="671"/>
      <c r="D34" s="675"/>
      <c r="E34" s="675"/>
      <c r="F34" s="675"/>
      <c r="G34" s="673"/>
      <c r="H34" s="306">
        <v>12</v>
      </c>
      <c r="I34" s="2"/>
      <c r="J34" s="2"/>
    </row>
    <row r="35" spans="1:11" ht="13" x14ac:dyDescent="0.3">
      <c r="A35" s="25" t="s">
        <v>298</v>
      </c>
      <c r="B35" s="487">
        <v>7176967</v>
      </c>
      <c r="C35" s="324">
        <v>-120229.87699981313</v>
      </c>
      <c r="D35" s="324"/>
      <c r="E35" s="324"/>
      <c r="F35" s="324">
        <v>117345</v>
      </c>
      <c r="G35" s="324">
        <v>26966</v>
      </c>
      <c r="H35" s="487">
        <f>'4a'!C9</f>
        <v>7201048.1230001869</v>
      </c>
      <c r="I35" s="11"/>
      <c r="J35" s="242" t="str">
        <f t="shared" ref="J35:J38" si="6">IF(SUM(B35:G35)=H35,"",FALSE)</f>
        <v/>
      </c>
      <c r="K35" s="550"/>
    </row>
    <row r="36" spans="1:11" ht="13" x14ac:dyDescent="0.3">
      <c r="A36" s="25" t="s">
        <v>299</v>
      </c>
      <c r="B36" s="486">
        <v>1550472</v>
      </c>
      <c r="C36" s="327">
        <v>-133701.45999997878</v>
      </c>
      <c r="D36" s="327"/>
      <c r="E36" s="327"/>
      <c r="F36" s="327">
        <v>9515</v>
      </c>
      <c r="G36" s="327"/>
      <c r="H36" s="486">
        <f>'4a'!C40</f>
        <v>1426285.5400000212</v>
      </c>
      <c r="I36" s="11"/>
      <c r="J36" s="242" t="str">
        <f t="shared" si="6"/>
        <v/>
      </c>
      <c r="K36" s="550"/>
    </row>
    <row r="37" spans="1:11" ht="13" x14ac:dyDescent="0.3">
      <c r="A37" s="25" t="s">
        <v>300</v>
      </c>
      <c r="B37" s="486">
        <v>377886</v>
      </c>
      <c r="C37" s="327"/>
      <c r="D37" s="327"/>
      <c r="E37" s="327"/>
      <c r="F37" s="327"/>
      <c r="G37" s="327">
        <f>H37-B37</f>
        <v>-32792.653479991655</v>
      </c>
      <c r="H37" s="486">
        <f>'4a'!C71</f>
        <v>345093.34652000834</v>
      </c>
      <c r="I37" s="2"/>
      <c r="J37" s="242" t="str">
        <f t="shared" si="6"/>
        <v/>
      </c>
      <c r="K37" s="550"/>
    </row>
    <row r="38" spans="1:11" ht="13" x14ac:dyDescent="0.3">
      <c r="A38" s="18" t="s">
        <v>8</v>
      </c>
      <c r="B38" s="20">
        <f>SUM(B35:B37)</f>
        <v>9105325</v>
      </c>
      <c r="C38" s="19">
        <f t="shared" ref="C38:H38" si="7">SUM(C35:C37)</f>
        <v>-253931.33699979191</v>
      </c>
      <c r="D38" s="19">
        <f t="shared" si="7"/>
        <v>0</v>
      </c>
      <c r="E38" s="19">
        <f t="shared" ref="E38" si="8">SUM(E35:E37)</f>
        <v>0</v>
      </c>
      <c r="F38" s="19">
        <f t="shared" si="7"/>
        <v>126860</v>
      </c>
      <c r="G38" s="19">
        <f t="shared" si="7"/>
        <v>-5826.6534799916553</v>
      </c>
      <c r="H38" s="20">
        <f t="shared" si="7"/>
        <v>8972427.0095202159</v>
      </c>
      <c r="I38" s="2"/>
      <c r="J38" s="242" t="str">
        <f t="shared" si="6"/>
        <v/>
      </c>
    </row>
    <row r="39" spans="1:11" ht="13" x14ac:dyDescent="0.3">
      <c r="B39" s="11"/>
      <c r="C39" s="11"/>
      <c r="D39" s="11"/>
      <c r="I39" s="2"/>
      <c r="J39" s="2"/>
    </row>
    <row r="40" spans="1:11" ht="13" x14ac:dyDescent="0.3">
      <c r="A40" s="670" t="s">
        <v>107</v>
      </c>
      <c r="B40" s="4">
        <v>2021</v>
      </c>
      <c r="C40" s="674" t="s">
        <v>426</v>
      </c>
      <c r="D40" s="674" t="s">
        <v>427</v>
      </c>
      <c r="E40" s="674" t="s">
        <v>428</v>
      </c>
      <c r="F40" s="674" t="s">
        <v>429</v>
      </c>
      <c r="G40" s="674" t="s">
        <v>430</v>
      </c>
      <c r="H40" s="4">
        <f>Annee</f>
        <v>2024</v>
      </c>
      <c r="I40" s="2"/>
      <c r="J40" s="2"/>
    </row>
    <row r="41" spans="1:11" ht="13" x14ac:dyDescent="0.3">
      <c r="A41" s="667"/>
      <c r="B41" s="78">
        <v>12</v>
      </c>
      <c r="C41" s="675"/>
      <c r="D41" s="675"/>
      <c r="E41" s="675"/>
      <c r="F41" s="675"/>
      <c r="G41" s="675"/>
      <c r="H41" s="78">
        <v>12</v>
      </c>
      <c r="I41" s="2"/>
      <c r="J41" s="2"/>
    </row>
    <row r="42" spans="1:11" ht="13" x14ac:dyDescent="0.3">
      <c r="A42" s="50" t="s">
        <v>273</v>
      </c>
      <c r="B42" s="224">
        <f>SUM(B43:B46)</f>
        <v>110</v>
      </c>
      <c r="C42" s="221">
        <f t="shared" ref="C42:H42" si="9">SUM(C43:C46)</f>
        <v>0</v>
      </c>
      <c r="D42" s="221">
        <f t="shared" si="9"/>
        <v>0</v>
      </c>
      <c r="E42" s="221">
        <f t="shared" ref="E42" si="10">SUM(E43:E46)</f>
        <v>-1.7213114754098306</v>
      </c>
      <c r="F42" s="221">
        <f t="shared" si="9"/>
        <v>0</v>
      </c>
      <c r="G42" s="221">
        <f t="shared" si="9"/>
        <v>2.4344262295082046</v>
      </c>
      <c r="H42" s="224">
        <f t="shared" si="9"/>
        <v>110.71311475409838</v>
      </c>
      <c r="I42" s="2"/>
      <c r="J42" s="242" t="str">
        <f t="shared" ref="J42:J72" si="11">IF(SUM(B42:G42)=H42,"",FALSE)</f>
        <v/>
      </c>
    </row>
    <row r="43" spans="1:11" ht="13" x14ac:dyDescent="0.3">
      <c r="A43" s="25" t="s">
        <v>491</v>
      </c>
      <c r="B43" s="487">
        <v>68</v>
      </c>
      <c r="C43" s="325"/>
      <c r="D43" s="325"/>
      <c r="E43" s="325">
        <v>-14</v>
      </c>
      <c r="F43" s="325"/>
      <c r="G43" s="325">
        <f>-B43-E43+H43</f>
        <v>2.4344262295082046</v>
      </c>
      <c r="H43" s="487">
        <f>'4a'!C107</f>
        <v>56.434426229508205</v>
      </c>
      <c r="I43" s="2"/>
      <c r="J43" s="242" t="str">
        <f>IF(SUM(B43:G43)=H43,"",FALSE)</f>
        <v/>
      </c>
    </row>
    <row r="44" spans="1:11" ht="13.15" customHeight="1" x14ac:dyDescent="0.3">
      <c r="A44" s="25" t="s">
        <v>492</v>
      </c>
      <c r="B44" s="487">
        <v>36</v>
      </c>
      <c r="C44" s="324"/>
      <c r="D44" s="324"/>
      <c r="E44" s="324"/>
      <c r="F44" s="324"/>
      <c r="G44" s="324"/>
      <c r="H44" s="487">
        <f>'4a'!C108</f>
        <v>36</v>
      </c>
      <c r="I44" s="2"/>
      <c r="J44" s="242" t="str">
        <f t="shared" si="11"/>
        <v/>
      </c>
    </row>
    <row r="45" spans="1:11" ht="13" x14ac:dyDescent="0.3">
      <c r="A45" s="25" t="s">
        <v>493</v>
      </c>
      <c r="B45" s="487">
        <v>6</v>
      </c>
      <c r="C45" s="324"/>
      <c r="D45" s="324"/>
      <c r="E45" s="324">
        <v>1.754098360655739</v>
      </c>
      <c r="F45" s="324"/>
      <c r="G45" s="324"/>
      <c r="H45" s="487">
        <f>'4a'!C109</f>
        <v>7.754098360655739</v>
      </c>
      <c r="I45" s="2"/>
      <c r="J45" s="242" t="str">
        <f t="shared" si="11"/>
        <v/>
      </c>
    </row>
    <row r="46" spans="1:11" ht="13" x14ac:dyDescent="0.3">
      <c r="A46" s="36" t="s">
        <v>494</v>
      </c>
      <c r="B46" s="487">
        <v>0</v>
      </c>
      <c r="C46" s="324"/>
      <c r="D46" s="324"/>
      <c r="E46" s="324">
        <f>H46</f>
        <v>10.52459016393443</v>
      </c>
      <c r="F46" s="324"/>
      <c r="G46" s="324"/>
      <c r="H46" s="487">
        <f>'4a'!C110</f>
        <v>10.52459016393443</v>
      </c>
      <c r="I46" s="2"/>
      <c r="J46" s="242" t="str">
        <f t="shared" si="11"/>
        <v/>
      </c>
    </row>
    <row r="47" spans="1:11" ht="13" x14ac:dyDescent="0.3">
      <c r="A47" s="50" t="s">
        <v>495</v>
      </c>
      <c r="B47" s="224">
        <f>SUM(B48:B51)</f>
        <v>41</v>
      </c>
      <c r="C47" s="221">
        <f t="shared" ref="C47:H47" si="12">SUM(C48:C51)</f>
        <v>0</v>
      </c>
      <c r="D47" s="221">
        <f t="shared" si="12"/>
        <v>0</v>
      </c>
      <c r="E47" s="221">
        <f t="shared" ref="E47" si="13">SUM(E48:E51)</f>
        <v>0</v>
      </c>
      <c r="F47" s="221">
        <f t="shared" si="12"/>
        <v>0</v>
      </c>
      <c r="G47" s="221">
        <f t="shared" si="12"/>
        <v>0</v>
      </c>
      <c r="H47" s="224">
        <f t="shared" si="12"/>
        <v>41</v>
      </c>
      <c r="I47" s="2"/>
      <c r="J47" s="242" t="str">
        <f t="shared" si="11"/>
        <v/>
      </c>
    </row>
    <row r="48" spans="1:11" ht="13" x14ac:dyDescent="0.3">
      <c r="A48" s="25" t="s">
        <v>491</v>
      </c>
      <c r="B48" s="487">
        <v>0</v>
      </c>
      <c r="C48" s="324"/>
      <c r="D48" s="324"/>
      <c r="E48" s="324"/>
      <c r="F48" s="324"/>
      <c r="G48" s="324"/>
      <c r="H48" s="487">
        <f>'4a'!C112</f>
        <v>0</v>
      </c>
      <c r="I48" s="2"/>
      <c r="J48" s="242" t="str">
        <f>IF(SUM(B48:G48)=H48,"",FALSE)</f>
        <v/>
      </c>
    </row>
    <row r="49" spans="1:10" ht="13" x14ac:dyDescent="0.3">
      <c r="A49" s="25" t="s">
        <v>492</v>
      </c>
      <c r="B49" s="487">
        <v>41</v>
      </c>
      <c r="C49" s="324"/>
      <c r="D49" s="324"/>
      <c r="E49" s="324"/>
      <c r="F49" s="324"/>
      <c r="G49" s="324"/>
      <c r="H49" s="487">
        <f>'4a'!C113</f>
        <v>41</v>
      </c>
      <c r="I49" s="2"/>
      <c r="J49" s="242" t="str">
        <f>IF(SUM(B49:G49)=H49,"",FALSE)</f>
        <v/>
      </c>
    </row>
    <row r="50" spans="1:10" ht="13" x14ac:dyDescent="0.3">
      <c r="A50" s="25" t="s">
        <v>493</v>
      </c>
      <c r="B50" s="487">
        <v>0</v>
      </c>
      <c r="C50" s="324"/>
      <c r="D50" s="324"/>
      <c r="E50" s="324"/>
      <c r="F50" s="324"/>
      <c r="G50" s="324"/>
      <c r="H50" s="487">
        <f>'4a'!C114</f>
        <v>0</v>
      </c>
      <c r="I50" s="2"/>
      <c r="J50" s="242" t="str">
        <f t="shared" si="11"/>
        <v/>
      </c>
    </row>
    <row r="51" spans="1:10" ht="13" x14ac:dyDescent="0.3">
      <c r="A51" s="36" t="s">
        <v>494</v>
      </c>
      <c r="B51" s="486">
        <v>0</v>
      </c>
      <c r="C51" s="327"/>
      <c r="D51" s="327"/>
      <c r="E51" s="327"/>
      <c r="F51" s="327"/>
      <c r="G51" s="327"/>
      <c r="H51" s="486">
        <f>'4a'!C115</f>
        <v>0</v>
      </c>
      <c r="I51" s="2"/>
      <c r="J51" s="242" t="str">
        <f t="shared" si="11"/>
        <v/>
      </c>
    </row>
    <row r="52" spans="1:10" ht="13" x14ac:dyDescent="0.3">
      <c r="A52" s="50" t="s">
        <v>496</v>
      </c>
      <c r="B52" s="224">
        <f>SUM(B53:B56)</f>
        <v>0</v>
      </c>
      <c r="C52" s="221">
        <f t="shared" ref="C52:H52" si="14">SUM(C53:C56)</f>
        <v>0</v>
      </c>
      <c r="D52" s="221">
        <f t="shared" si="14"/>
        <v>0</v>
      </c>
      <c r="E52" s="221">
        <f t="shared" si="14"/>
        <v>0</v>
      </c>
      <c r="F52" s="221">
        <f t="shared" si="14"/>
        <v>0</v>
      </c>
      <c r="G52" s="221">
        <f t="shared" si="14"/>
        <v>0</v>
      </c>
      <c r="H52" s="224">
        <f t="shared" si="14"/>
        <v>0</v>
      </c>
      <c r="I52" s="2"/>
      <c r="J52" s="242" t="str">
        <f t="shared" si="11"/>
        <v/>
      </c>
    </row>
    <row r="53" spans="1:10" ht="13" x14ac:dyDescent="0.3">
      <c r="A53" s="25" t="s">
        <v>491</v>
      </c>
      <c r="B53" s="487"/>
      <c r="C53" s="325"/>
      <c r="D53" s="325"/>
      <c r="E53" s="325"/>
      <c r="F53" s="325"/>
      <c r="G53" s="325"/>
      <c r="H53" s="487">
        <f>'4a'!C117</f>
        <v>0</v>
      </c>
      <c r="I53" s="2"/>
      <c r="J53" s="242" t="str">
        <f t="shared" si="11"/>
        <v/>
      </c>
    </row>
    <row r="54" spans="1:10" ht="13.15" customHeight="1" x14ac:dyDescent="0.3">
      <c r="A54" s="25" t="s">
        <v>492</v>
      </c>
      <c r="B54" s="487"/>
      <c r="C54" s="324"/>
      <c r="D54" s="324"/>
      <c r="E54" s="324"/>
      <c r="F54" s="324"/>
      <c r="G54" s="324"/>
      <c r="H54" s="487">
        <f>'4a'!C118</f>
        <v>0</v>
      </c>
      <c r="I54" s="2"/>
      <c r="J54" s="242" t="str">
        <f t="shared" si="11"/>
        <v/>
      </c>
    </row>
    <row r="55" spans="1:10" ht="13" x14ac:dyDescent="0.3">
      <c r="A55" s="25" t="s">
        <v>493</v>
      </c>
      <c r="B55" s="487"/>
      <c r="C55" s="324"/>
      <c r="D55" s="324"/>
      <c r="E55" s="324"/>
      <c r="F55" s="324"/>
      <c r="G55" s="324"/>
      <c r="H55" s="487">
        <f>'4a'!C119</f>
        <v>0</v>
      </c>
      <c r="I55" s="2"/>
      <c r="J55" s="242" t="str">
        <f t="shared" si="11"/>
        <v/>
      </c>
    </row>
    <row r="56" spans="1:10" ht="13" x14ac:dyDescent="0.3">
      <c r="A56" s="36" t="s">
        <v>494</v>
      </c>
      <c r="B56" s="487"/>
      <c r="C56" s="324"/>
      <c r="D56" s="324"/>
      <c r="E56" s="324"/>
      <c r="F56" s="324"/>
      <c r="G56" s="324"/>
      <c r="H56" s="487">
        <f>'4a'!C120</f>
        <v>0</v>
      </c>
      <c r="I56" s="2"/>
      <c r="J56" s="242" t="str">
        <f t="shared" si="11"/>
        <v/>
      </c>
    </row>
    <row r="57" spans="1:10" ht="13" x14ac:dyDescent="0.3">
      <c r="A57" s="50" t="s">
        <v>272</v>
      </c>
      <c r="B57" s="224">
        <f>SUM(B58:B61)</f>
        <v>11</v>
      </c>
      <c r="C57" s="221">
        <f t="shared" ref="C57:H57" si="15">SUM(C58:C61)</f>
        <v>0</v>
      </c>
      <c r="D57" s="221">
        <f t="shared" si="15"/>
        <v>0</v>
      </c>
      <c r="E57" s="221">
        <f t="shared" si="15"/>
        <v>0</v>
      </c>
      <c r="F57" s="221">
        <f t="shared" si="15"/>
        <v>0</v>
      </c>
      <c r="G57" s="221">
        <f t="shared" si="15"/>
        <v>0</v>
      </c>
      <c r="H57" s="224">
        <f t="shared" si="15"/>
        <v>11</v>
      </c>
      <c r="I57" s="2"/>
      <c r="J57" s="242" t="str">
        <f t="shared" si="11"/>
        <v/>
      </c>
    </row>
    <row r="58" spans="1:10" ht="13" x14ac:dyDescent="0.3">
      <c r="A58" s="25" t="s">
        <v>491</v>
      </c>
      <c r="B58" s="487">
        <v>11</v>
      </c>
      <c r="C58" s="325"/>
      <c r="D58" s="325"/>
      <c r="E58" s="325"/>
      <c r="F58" s="325"/>
      <c r="G58" s="325"/>
      <c r="H58" s="487">
        <f>'4a'!C122</f>
        <v>11</v>
      </c>
      <c r="I58" s="2"/>
      <c r="J58" s="242" t="str">
        <f t="shared" si="11"/>
        <v/>
      </c>
    </row>
    <row r="59" spans="1:10" ht="13.15" customHeight="1" x14ac:dyDescent="0.3">
      <c r="A59" s="25" t="s">
        <v>492</v>
      </c>
      <c r="B59" s="487">
        <v>0</v>
      </c>
      <c r="C59" s="324"/>
      <c r="D59" s="324"/>
      <c r="E59" s="324"/>
      <c r="F59" s="324"/>
      <c r="G59" s="324"/>
      <c r="H59" s="487">
        <f>'4a'!C123</f>
        <v>0</v>
      </c>
      <c r="I59" s="2"/>
      <c r="J59" s="242" t="str">
        <f t="shared" si="11"/>
        <v/>
      </c>
    </row>
    <row r="60" spans="1:10" ht="13" x14ac:dyDescent="0.3">
      <c r="A60" s="25" t="s">
        <v>493</v>
      </c>
      <c r="B60" s="487">
        <v>0</v>
      </c>
      <c r="C60" s="324"/>
      <c r="D60" s="324"/>
      <c r="E60" s="324"/>
      <c r="F60" s="324"/>
      <c r="G60" s="324"/>
      <c r="H60" s="487">
        <f>'4a'!C124</f>
        <v>0</v>
      </c>
      <c r="I60" s="2"/>
      <c r="J60" s="242" t="str">
        <f t="shared" si="11"/>
        <v/>
      </c>
    </row>
    <row r="61" spans="1:10" ht="13" x14ac:dyDescent="0.3">
      <c r="A61" s="36" t="s">
        <v>494</v>
      </c>
      <c r="B61" s="487">
        <v>0</v>
      </c>
      <c r="C61" s="324"/>
      <c r="D61" s="324"/>
      <c r="E61" s="324"/>
      <c r="F61" s="324"/>
      <c r="G61" s="324"/>
      <c r="H61" s="487">
        <f>'4a'!C125</f>
        <v>0</v>
      </c>
      <c r="I61" s="2"/>
      <c r="J61" s="242" t="str">
        <f t="shared" si="11"/>
        <v/>
      </c>
    </row>
    <row r="62" spans="1:10" ht="13" x14ac:dyDescent="0.3">
      <c r="A62" s="50" t="s">
        <v>274</v>
      </c>
      <c r="B62" s="224">
        <f>SUM(B63:B66)</f>
        <v>17</v>
      </c>
      <c r="C62" s="221">
        <f t="shared" ref="C62:H62" si="16">SUM(C63:C66)</f>
        <v>0</v>
      </c>
      <c r="D62" s="221">
        <f t="shared" si="16"/>
        <v>0</v>
      </c>
      <c r="E62" s="221">
        <f t="shared" si="16"/>
        <v>0</v>
      </c>
      <c r="F62" s="221">
        <f t="shared" si="16"/>
        <v>0</v>
      </c>
      <c r="G62" s="221">
        <f t="shared" si="16"/>
        <v>-2</v>
      </c>
      <c r="H62" s="224">
        <f t="shared" si="16"/>
        <v>15</v>
      </c>
      <c r="I62" s="2"/>
      <c r="J62" s="242" t="str">
        <f t="shared" ref="J62:J71" si="17">IF(SUM(B62:G62)=H62,"",FALSE)</f>
        <v/>
      </c>
    </row>
    <row r="63" spans="1:10" ht="13" x14ac:dyDescent="0.3">
      <c r="A63" s="25" t="s">
        <v>491</v>
      </c>
      <c r="B63" s="487">
        <v>7</v>
      </c>
      <c r="C63" s="325"/>
      <c r="D63" s="325"/>
      <c r="E63" s="325"/>
      <c r="F63" s="325"/>
      <c r="G63" s="325">
        <v>-2</v>
      </c>
      <c r="H63" s="487">
        <f>'4a'!C127</f>
        <v>5</v>
      </c>
      <c r="I63" s="2"/>
      <c r="J63" s="242" t="str">
        <f t="shared" si="17"/>
        <v/>
      </c>
    </row>
    <row r="64" spans="1:10" ht="13.15" customHeight="1" x14ac:dyDescent="0.3">
      <c r="A64" s="25" t="s">
        <v>492</v>
      </c>
      <c r="B64" s="487">
        <v>10</v>
      </c>
      <c r="C64" s="324"/>
      <c r="D64" s="324"/>
      <c r="E64" s="324"/>
      <c r="F64" s="324"/>
      <c r="G64" s="324"/>
      <c r="H64" s="487">
        <f>'4a'!C128</f>
        <v>10</v>
      </c>
      <c r="I64" s="2"/>
      <c r="J64" s="242" t="str">
        <f t="shared" si="17"/>
        <v/>
      </c>
    </row>
    <row r="65" spans="1:10" ht="13" x14ac:dyDescent="0.3">
      <c r="A65" s="25" t="s">
        <v>493</v>
      </c>
      <c r="B65" s="487">
        <v>0</v>
      </c>
      <c r="C65" s="324"/>
      <c r="D65" s="324"/>
      <c r="E65" s="324"/>
      <c r="F65" s="324"/>
      <c r="G65" s="324"/>
      <c r="H65" s="487">
        <f>'4a'!C129</f>
        <v>0</v>
      </c>
      <c r="I65" s="2"/>
      <c r="J65" s="242" t="str">
        <f t="shared" si="17"/>
        <v/>
      </c>
    </row>
    <row r="66" spans="1:10" ht="13" x14ac:dyDescent="0.3">
      <c r="A66" s="36" t="s">
        <v>494</v>
      </c>
      <c r="B66" s="487">
        <v>0</v>
      </c>
      <c r="C66" s="324"/>
      <c r="D66" s="324"/>
      <c r="E66" s="324"/>
      <c r="F66" s="324"/>
      <c r="G66" s="324"/>
      <c r="H66" s="487">
        <f>'4a'!C130</f>
        <v>0</v>
      </c>
      <c r="I66" s="2"/>
      <c r="J66" s="242" t="str">
        <f t="shared" si="17"/>
        <v/>
      </c>
    </row>
    <row r="67" spans="1:10" ht="13" x14ac:dyDescent="0.3">
      <c r="A67" s="50" t="s">
        <v>462</v>
      </c>
      <c r="B67" s="224">
        <f>SUM(B68:B71)</f>
        <v>0</v>
      </c>
      <c r="C67" s="221">
        <f t="shared" ref="C67:H67" si="18">SUM(C68:C71)</f>
        <v>0</v>
      </c>
      <c r="D67" s="221">
        <f t="shared" si="18"/>
        <v>0</v>
      </c>
      <c r="E67" s="221">
        <f t="shared" si="18"/>
        <v>0</v>
      </c>
      <c r="F67" s="221">
        <f t="shared" si="18"/>
        <v>0</v>
      </c>
      <c r="G67" s="221">
        <f t="shared" si="18"/>
        <v>0</v>
      </c>
      <c r="H67" s="224">
        <f t="shared" si="18"/>
        <v>0</v>
      </c>
      <c r="I67" s="2"/>
      <c r="J67" s="242" t="str">
        <f t="shared" si="17"/>
        <v/>
      </c>
    </row>
    <row r="68" spans="1:10" ht="13" x14ac:dyDescent="0.3">
      <c r="A68" s="25" t="s">
        <v>491</v>
      </c>
      <c r="B68" s="487">
        <v>0</v>
      </c>
      <c r="C68" s="324"/>
      <c r="D68" s="324"/>
      <c r="E68" s="324"/>
      <c r="F68" s="324"/>
      <c r="G68" s="324"/>
      <c r="H68" s="487">
        <f>'4a'!C132</f>
        <v>0</v>
      </c>
      <c r="I68" s="2"/>
      <c r="J68" s="242" t="str">
        <f t="shared" si="17"/>
        <v/>
      </c>
    </row>
    <row r="69" spans="1:10" ht="13" x14ac:dyDescent="0.3">
      <c r="A69" s="25" t="s">
        <v>492</v>
      </c>
      <c r="B69" s="487">
        <v>0</v>
      </c>
      <c r="C69" s="324"/>
      <c r="D69" s="324"/>
      <c r="E69" s="324"/>
      <c r="F69" s="324"/>
      <c r="G69" s="324"/>
      <c r="H69" s="487">
        <f>'4a'!C133</f>
        <v>0</v>
      </c>
      <c r="I69" s="2"/>
      <c r="J69" s="242" t="str">
        <f t="shared" si="17"/>
        <v/>
      </c>
    </row>
    <row r="70" spans="1:10" ht="13" x14ac:dyDescent="0.3">
      <c r="A70" s="25" t="s">
        <v>493</v>
      </c>
      <c r="B70" s="487">
        <v>0</v>
      </c>
      <c r="C70" s="324"/>
      <c r="D70" s="324"/>
      <c r="E70" s="324"/>
      <c r="F70" s="324"/>
      <c r="G70" s="324"/>
      <c r="H70" s="487">
        <f>'4a'!C134</f>
        <v>0</v>
      </c>
      <c r="I70" s="2"/>
      <c r="J70" s="242" t="str">
        <f t="shared" si="17"/>
        <v/>
      </c>
    </row>
    <row r="71" spans="1:10" ht="13" x14ac:dyDescent="0.3">
      <c r="A71" s="36" t="s">
        <v>494</v>
      </c>
      <c r="B71" s="486">
        <v>0</v>
      </c>
      <c r="C71" s="327"/>
      <c r="D71" s="327"/>
      <c r="E71" s="327"/>
      <c r="F71" s="327"/>
      <c r="G71" s="327"/>
      <c r="H71" s="486">
        <f>'4a'!C135</f>
        <v>0</v>
      </c>
      <c r="I71" s="2"/>
      <c r="J71" s="242" t="str">
        <f t="shared" si="17"/>
        <v/>
      </c>
    </row>
    <row r="72" spans="1:10" ht="13" x14ac:dyDescent="0.3">
      <c r="A72" s="18" t="s">
        <v>345</v>
      </c>
      <c r="B72" s="20">
        <f>B42+B47+B52+B57+B62+B67</f>
        <v>179</v>
      </c>
      <c r="C72" s="19">
        <f t="shared" ref="C72:H72" si="19">C42+C47+C52+C57+C62+C67</f>
        <v>0</v>
      </c>
      <c r="D72" s="19">
        <f t="shared" si="19"/>
        <v>0</v>
      </c>
      <c r="E72" s="19">
        <f t="shared" si="19"/>
        <v>-1.7213114754098306</v>
      </c>
      <c r="F72" s="19">
        <f t="shared" si="19"/>
        <v>0</v>
      </c>
      <c r="G72" s="19">
        <f t="shared" si="19"/>
        <v>0.43442622950820464</v>
      </c>
      <c r="H72" s="20">
        <f t="shared" si="19"/>
        <v>177.7131147540984</v>
      </c>
      <c r="I72" s="2"/>
      <c r="J72" s="242" t="str">
        <f t="shared" si="11"/>
        <v/>
      </c>
    </row>
    <row r="73" spans="1:10" ht="13" x14ac:dyDescent="0.3">
      <c r="A73" s="49"/>
      <c r="B73" s="238"/>
      <c r="C73" s="238"/>
      <c r="D73" s="238"/>
      <c r="E73" s="238"/>
      <c r="F73" s="238"/>
      <c r="G73" s="238"/>
      <c r="H73" s="238"/>
      <c r="I73" s="2"/>
      <c r="J73" s="2"/>
    </row>
    <row r="74" spans="1:10" ht="13" x14ac:dyDescent="0.3">
      <c r="A74" s="42" t="s">
        <v>421</v>
      </c>
      <c r="B74" s="44"/>
      <c r="C74" s="44"/>
      <c r="D74" s="44"/>
      <c r="E74" s="44"/>
      <c r="F74" s="44"/>
      <c r="G74" s="44"/>
      <c r="H74" s="44"/>
      <c r="I74" s="2"/>
      <c r="J74" s="2"/>
    </row>
    <row r="75" spans="1:10" ht="13" x14ac:dyDescent="0.3">
      <c r="I75" s="274"/>
      <c r="J75" s="2"/>
    </row>
    <row r="76" spans="1:10" ht="13" x14ac:dyDescent="0.3">
      <c r="A76" s="670" t="s">
        <v>366</v>
      </c>
      <c r="B76" s="4">
        <v>2021</v>
      </c>
      <c r="C76" s="674" t="s">
        <v>426</v>
      </c>
      <c r="D76" s="674" t="s">
        <v>427</v>
      </c>
      <c r="E76" s="674" t="s">
        <v>428</v>
      </c>
      <c r="F76" s="674" t="s">
        <v>429</v>
      </c>
      <c r="G76" s="674" t="s">
        <v>430</v>
      </c>
      <c r="H76" s="4">
        <f>Annee</f>
        <v>2024</v>
      </c>
      <c r="I76" s="274"/>
      <c r="J76" s="2"/>
    </row>
    <row r="77" spans="1:10" ht="13" x14ac:dyDescent="0.3">
      <c r="A77" s="671" t="s">
        <v>11</v>
      </c>
      <c r="B77" s="78">
        <v>12</v>
      </c>
      <c r="C77" s="675"/>
      <c r="D77" s="675"/>
      <c r="E77" s="675"/>
      <c r="F77" s="675"/>
      <c r="G77" s="675"/>
      <c r="H77" s="78">
        <v>12</v>
      </c>
      <c r="I77" s="274"/>
      <c r="J77" s="2"/>
    </row>
    <row r="78" spans="1:10" ht="13" x14ac:dyDescent="0.3">
      <c r="A78" s="50" t="s">
        <v>84</v>
      </c>
      <c r="B78" s="54">
        <f>SUM(B79:B86)</f>
        <v>7139947.3233204242</v>
      </c>
      <c r="C78" s="610">
        <f>SUM(C79:C86)</f>
        <v>44133.883786330465</v>
      </c>
      <c r="D78" s="293">
        <f t="shared" ref="D78:H78" si="20">SUM(D79:D86)</f>
        <v>850136.56726897485</v>
      </c>
      <c r="E78" s="293">
        <f t="shared" si="20"/>
        <v>224612.58510931442</v>
      </c>
      <c r="F78" s="293">
        <f t="shared" si="20"/>
        <v>-109075.37278688548</v>
      </c>
      <c r="G78" s="293">
        <f t="shared" si="20"/>
        <v>370000</v>
      </c>
      <c r="H78" s="54">
        <f t="shared" si="20"/>
        <v>8519754.9866981581</v>
      </c>
      <c r="I78" s="274"/>
      <c r="J78" s="242" t="str">
        <f>IF(SUM(B78:G78)=H78,"",FALSE)</f>
        <v/>
      </c>
    </row>
    <row r="79" spans="1:10" ht="13" x14ac:dyDescent="0.3">
      <c r="A79" s="25" t="s">
        <v>328</v>
      </c>
      <c r="B79" s="489">
        <v>2861620.69</v>
      </c>
      <c r="C79" s="611">
        <v>44133.883786330465</v>
      </c>
      <c r="D79" s="611">
        <v>635279.79318000004</v>
      </c>
      <c r="E79" s="611">
        <v>-13401.629756269976</v>
      </c>
      <c r="F79" s="611" t="s">
        <v>509</v>
      </c>
      <c r="G79" s="611" t="s">
        <v>509</v>
      </c>
      <c r="H79" s="488">
        <f>'4a'!C143</f>
        <v>3527632.7372100605</v>
      </c>
      <c r="I79" s="545"/>
      <c r="J79" s="242" t="str">
        <f t="shared" ref="J79:J95" si="21">IF(SUM(B79:G79)=H79,"",FALSE)</f>
        <v/>
      </c>
    </row>
    <row r="80" spans="1:10" ht="13" x14ac:dyDescent="0.3">
      <c r="A80" s="25" t="s">
        <v>71</v>
      </c>
      <c r="B80" s="489">
        <v>83707.009999999995</v>
      </c>
      <c r="C80" s="611" t="s">
        <v>509</v>
      </c>
      <c r="D80" s="611">
        <f>H80-B80</f>
        <v>55905.023460033277</v>
      </c>
      <c r="E80" s="611" t="s">
        <v>509</v>
      </c>
      <c r="F80" s="611" t="s">
        <v>509</v>
      </c>
      <c r="G80" s="611" t="s">
        <v>509</v>
      </c>
      <c r="H80" s="488">
        <f>'4a'!C174</f>
        <v>139612.03346003327</v>
      </c>
      <c r="I80" s="545"/>
      <c r="J80" s="242" t="str">
        <f t="shared" si="21"/>
        <v/>
      </c>
    </row>
    <row r="81" spans="1:11" ht="13" x14ac:dyDescent="0.3">
      <c r="A81" s="25" t="s">
        <v>72</v>
      </c>
      <c r="B81" s="489">
        <v>168500.55000000005</v>
      </c>
      <c r="C81" s="611" t="s">
        <v>509</v>
      </c>
      <c r="D81" s="611">
        <f>H81-B81</f>
        <v>2719.5415839999623</v>
      </c>
      <c r="E81" s="611" t="s">
        <v>509</v>
      </c>
      <c r="F81" s="611" t="s">
        <v>509</v>
      </c>
      <c r="G81" s="611" t="s">
        <v>509</v>
      </c>
      <c r="H81" s="488">
        <f>'4a'!C205</f>
        <v>171220.09158400001</v>
      </c>
      <c r="I81" s="274"/>
      <c r="J81" s="242" t="str">
        <f>IF(SUM(B81:G81)=H81,"",FALSE)</f>
        <v/>
      </c>
      <c r="K81" s="542"/>
    </row>
    <row r="82" spans="1:11" ht="13" x14ac:dyDescent="0.3">
      <c r="A82" s="25" t="s">
        <v>186</v>
      </c>
      <c r="B82" s="489">
        <v>1159933.6299999997</v>
      </c>
      <c r="C82" s="611" t="s">
        <v>509</v>
      </c>
      <c r="D82" s="611">
        <v>25741.663199999995</v>
      </c>
      <c r="E82" s="611">
        <v>238014.21486558439</v>
      </c>
      <c r="F82" s="611" t="s">
        <v>509</v>
      </c>
      <c r="G82" s="611">
        <v>370000</v>
      </c>
      <c r="H82" s="565">
        <f>'4a'!C236+'4a'!C298</f>
        <v>1793689.5080655841</v>
      </c>
      <c r="I82" s="545"/>
      <c r="J82" s="242" t="str">
        <f t="shared" si="21"/>
        <v/>
      </c>
    </row>
    <row r="83" spans="1:11" ht="13" x14ac:dyDescent="0.3">
      <c r="A83" s="25" t="s">
        <v>187</v>
      </c>
      <c r="B83" s="489">
        <v>1992484.9633204248</v>
      </c>
      <c r="C83" s="611" t="s">
        <v>509</v>
      </c>
      <c r="D83" s="611">
        <v>119328.10828405851</v>
      </c>
      <c r="E83" s="611" t="s">
        <v>509</v>
      </c>
      <c r="F83" s="611" t="s">
        <v>509</v>
      </c>
      <c r="G83" s="611" t="s">
        <v>509</v>
      </c>
      <c r="H83" s="488">
        <f>'4a'!C267</f>
        <v>2111813.0716044833</v>
      </c>
      <c r="I83" s="545"/>
      <c r="J83" s="242" t="str">
        <f t="shared" si="21"/>
        <v/>
      </c>
    </row>
    <row r="84" spans="1:11" ht="13" x14ac:dyDescent="0.3">
      <c r="A84" s="25" t="s">
        <v>73</v>
      </c>
      <c r="B84" s="489">
        <v>759677.3400000002</v>
      </c>
      <c r="C84" s="611" t="s">
        <v>509</v>
      </c>
      <c r="D84" s="611" t="s">
        <v>509</v>
      </c>
      <c r="E84" s="611" t="s">
        <v>509</v>
      </c>
      <c r="F84" s="611">
        <v>-109075.37278688548</v>
      </c>
      <c r="G84" s="611" t="s">
        <v>509</v>
      </c>
      <c r="H84" s="488">
        <f>'4a'!C334</f>
        <v>650601.96721311472</v>
      </c>
      <c r="I84" s="545"/>
      <c r="J84" s="242" t="str">
        <f t="shared" si="21"/>
        <v/>
      </c>
    </row>
    <row r="85" spans="1:11" ht="13" x14ac:dyDescent="0.3">
      <c r="A85" s="25" t="s">
        <v>75</v>
      </c>
      <c r="B85" s="489">
        <v>0</v>
      </c>
      <c r="C85" s="611" t="s">
        <v>509</v>
      </c>
      <c r="D85" s="611" t="s">
        <v>509</v>
      </c>
      <c r="E85" s="611" t="s">
        <v>509</v>
      </c>
      <c r="F85" s="611" t="s">
        <v>509</v>
      </c>
      <c r="G85" s="611" t="s">
        <v>509</v>
      </c>
      <c r="H85" s="488">
        <f>'4a'!C365</f>
        <v>0</v>
      </c>
      <c r="I85" s="545"/>
      <c r="J85" s="242" t="str">
        <f t="shared" si="21"/>
        <v/>
      </c>
    </row>
    <row r="86" spans="1:11" ht="13" x14ac:dyDescent="0.3">
      <c r="A86" s="25" t="s">
        <v>76</v>
      </c>
      <c r="B86" s="489">
        <v>114023.14</v>
      </c>
      <c r="C86" s="611" t="s">
        <v>509</v>
      </c>
      <c r="D86" s="611">
        <v>11162.437560883176</v>
      </c>
      <c r="E86" s="611" t="s">
        <v>509</v>
      </c>
      <c r="F86" s="611" t="s">
        <v>509</v>
      </c>
      <c r="G86" s="611" t="s">
        <v>509</v>
      </c>
      <c r="H86" s="488">
        <f>'4a'!C396</f>
        <v>125185.57756088318</v>
      </c>
      <c r="I86" s="545"/>
      <c r="J86" s="242" t="str">
        <f t="shared" si="21"/>
        <v/>
      </c>
    </row>
    <row r="87" spans="1:11" ht="13" x14ac:dyDescent="0.3">
      <c r="A87" s="50" t="s">
        <v>12</v>
      </c>
      <c r="B87" s="54">
        <f>SUM(B88:B93)</f>
        <v>18221126.209999997</v>
      </c>
      <c r="C87" s="610">
        <f t="shared" ref="C87:H87" si="22">SUM(C88:C93)</f>
        <v>67780.149540863931</v>
      </c>
      <c r="D87" s="610">
        <f t="shared" si="22"/>
        <v>682160.32016386464</v>
      </c>
      <c r="E87" s="610">
        <f>SUM(E88:E93)</f>
        <v>0</v>
      </c>
      <c r="F87" s="610">
        <f t="shared" si="22"/>
        <v>0</v>
      </c>
      <c r="G87" s="610">
        <f t="shared" si="22"/>
        <v>0</v>
      </c>
      <c r="H87" s="54">
        <f t="shared" si="22"/>
        <v>18971066.679704726</v>
      </c>
      <c r="I87" s="545"/>
      <c r="J87" s="242" t="str">
        <f>IF(SUM(B87:G87)=H87,"",FALSE)</f>
        <v/>
      </c>
    </row>
    <row r="88" spans="1:11" ht="13" x14ac:dyDescent="0.3">
      <c r="A88" s="25" t="s">
        <v>289</v>
      </c>
      <c r="B88" s="489">
        <v>18221126.209999997</v>
      </c>
      <c r="C88" s="611">
        <v>67780.149540863931</v>
      </c>
      <c r="D88" s="611">
        <v>682160.32016386464</v>
      </c>
      <c r="E88" s="611" t="s">
        <v>509</v>
      </c>
      <c r="F88" s="611" t="s">
        <v>509</v>
      </c>
      <c r="G88" s="611" t="s">
        <v>509</v>
      </c>
      <c r="H88" s="488">
        <f>'4a'!C473</f>
        <v>18971066.679704726</v>
      </c>
      <c r="I88" s="545"/>
      <c r="J88" s="242" t="str">
        <f>IF(SUM(B88:G88)=H88,"",FALSE)</f>
        <v/>
      </c>
      <c r="K88" s="542"/>
    </row>
    <row r="89" spans="1:11" ht="13" x14ac:dyDescent="0.3">
      <c r="A89" s="25" t="s">
        <v>411</v>
      </c>
      <c r="B89" s="489"/>
      <c r="C89" s="611" t="s">
        <v>509</v>
      </c>
      <c r="D89" s="611" t="s">
        <v>509</v>
      </c>
      <c r="E89" s="611" t="s">
        <v>509</v>
      </c>
      <c r="F89" s="611" t="s">
        <v>509</v>
      </c>
      <c r="G89" s="611" t="s">
        <v>509</v>
      </c>
      <c r="H89" s="565"/>
      <c r="I89" s="274"/>
      <c r="J89" s="242" t="str">
        <f t="shared" si="21"/>
        <v/>
      </c>
    </row>
    <row r="90" spans="1:11" ht="13" x14ac:dyDescent="0.3">
      <c r="A90" s="169" t="s">
        <v>412</v>
      </c>
      <c r="B90" s="489"/>
      <c r="C90" s="611" t="s">
        <v>509</v>
      </c>
      <c r="D90" s="611" t="s">
        <v>509</v>
      </c>
      <c r="E90" s="611" t="s">
        <v>509</v>
      </c>
      <c r="F90" s="611" t="s">
        <v>509</v>
      </c>
      <c r="G90" s="611" t="s">
        <v>509</v>
      </c>
      <c r="H90" s="488">
        <f>'4a'!C475</f>
        <v>0</v>
      </c>
      <c r="I90" s="274"/>
      <c r="J90" s="242" t="str">
        <f t="shared" si="21"/>
        <v/>
      </c>
    </row>
    <row r="91" spans="1:11" s="171" customFormat="1" ht="13" x14ac:dyDescent="0.3">
      <c r="A91" s="169"/>
      <c r="B91" s="489"/>
      <c r="C91" s="611" t="s">
        <v>509</v>
      </c>
      <c r="D91" s="611" t="s">
        <v>509</v>
      </c>
      <c r="E91" s="611" t="s">
        <v>509</v>
      </c>
      <c r="F91" s="611" t="s">
        <v>509</v>
      </c>
      <c r="G91" s="611" t="s">
        <v>509</v>
      </c>
      <c r="H91" s="489">
        <f>'4a'!C476</f>
        <v>0</v>
      </c>
      <c r="I91" s="356"/>
      <c r="J91" s="242" t="str">
        <f t="shared" si="21"/>
        <v/>
      </c>
    </row>
    <row r="92" spans="1:11" s="171" customFormat="1" ht="13" x14ac:dyDescent="0.3">
      <c r="B92" s="489"/>
      <c r="C92" s="611" t="s">
        <v>509</v>
      </c>
      <c r="D92" s="611" t="s">
        <v>509</v>
      </c>
      <c r="E92" s="611" t="s">
        <v>509</v>
      </c>
      <c r="F92" s="611" t="s">
        <v>509</v>
      </c>
      <c r="G92" s="611" t="s">
        <v>509</v>
      </c>
      <c r="H92" s="489">
        <f>'4a'!C477</f>
        <v>0</v>
      </c>
      <c r="I92" s="356"/>
      <c r="J92" s="242" t="str">
        <f t="shared" si="21"/>
        <v/>
      </c>
    </row>
    <row r="93" spans="1:11" s="171" customFormat="1" ht="13" x14ac:dyDescent="0.3">
      <c r="A93" s="169"/>
      <c r="B93" s="589"/>
      <c r="C93" s="611" t="s">
        <v>509</v>
      </c>
      <c r="D93" s="611" t="s">
        <v>509</v>
      </c>
      <c r="E93" s="611" t="s">
        <v>509</v>
      </c>
      <c r="F93" s="611" t="s">
        <v>509</v>
      </c>
      <c r="G93" s="611" t="s">
        <v>509</v>
      </c>
      <c r="H93" s="489">
        <f>'4a'!C478</f>
        <v>0</v>
      </c>
      <c r="I93" s="356"/>
      <c r="J93" s="242" t="str">
        <f t="shared" si="21"/>
        <v/>
      </c>
    </row>
    <row r="94" spans="1:11" ht="13" x14ac:dyDescent="0.3">
      <c r="A94" s="50" t="s">
        <v>303</v>
      </c>
      <c r="B94" s="54">
        <v>220773.23000000007</v>
      </c>
      <c r="C94" s="612" t="s">
        <v>509</v>
      </c>
      <c r="D94" s="612">
        <f>H94-B94</f>
        <v>31121.739999999932</v>
      </c>
      <c r="E94" s="612" t="s">
        <v>509</v>
      </c>
      <c r="F94" s="612" t="s">
        <v>509</v>
      </c>
      <c r="G94" s="612" t="s">
        <v>509</v>
      </c>
      <c r="H94" s="54">
        <f>'4.Charges variables'!C46</f>
        <v>251894.97</v>
      </c>
      <c r="I94" s="274"/>
      <c r="J94" s="242" t="str">
        <f t="shared" si="21"/>
        <v/>
      </c>
    </row>
    <row r="95" spans="1:11" s="5" customFormat="1" ht="13" x14ac:dyDescent="0.3">
      <c r="A95" s="18" t="s">
        <v>8</v>
      </c>
      <c r="B95" s="20">
        <f>SUM(B78,B87,B94)</f>
        <v>25581846.76332042</v>
      </c>
      <c r="C95" s="19">
        <f>SUM(C78,C87,C94)</f>
        <v>111914.0333271944</v>
      </c>
      <c r="D95" s="19">
        <f t="shared" ref="D95:H95" si="23">SUM(D78,D87,D94)</f>
        <v>1563418.6274328395</v>
      </c>
      <c r="E95" s="19">
        <f t="shared" si="23"/>
        <v>224612.58510931442</v>
      </c>
      <c r="F95" s="19">
        <f t="shared" si="23"/>
        <v>-109075.37278688548</v>
      </c>
      <c r="G95" s="19">
        <f t="shared" si="23"/>
        <v>370000</v>
      </c>
      <c r="H95" s="20">
        <f t="shared" si="23"/>
        <v>27742716.636402883</v>
      </c>
      <c r="I95" s="42"/>
      <c r="J95" s="242" t="str">
        <f t="shared" si="21"/>
        <v/>
      </c>
    </row>
    <row r="96" spans="1:11" ht="13" x14ac:dyDescent="0.3">
      <c r="B96" s="11"/>
      <c r="C96" s="11"/>
      <c r="D96" s="11"/>
      <c r="I96" s="2"/>
      <c r="J96" s="2"/>
    </row>
    <row r="97" spans="1:12" ht="13" x14ac:dyDescent="0.3">
      <c r="A97" s="21" t="s">
        <v>422</v>
      </c>
      <c r="B97" s="153"/>
      <c r="C97" s="153"/>
      <c r="D97" s="153"/>
      <c r="E97" s="153"/>
      <c r="F97" s="153"/>
      <c r="G97" s="153"/>
      <c r="H97" s="153"/>
      <c r="I97" s="2"/>
      <c r="J97" s="2"/>
    </row>
    <row r="99" spans="1:12" ht="13" x14ac:dyDescent="0.3">
      <c r="A99" s="666" t="s">
        <v>163</v>
      </c>
      <c r="B99" s="4">
        <v>2021</v>
      </c>
      <c r="C99" s="674" t="s">
        <v>426</v>
      </c>
      <c r="D99" s="674" t="s">
        <v>427</v>
      </c>
      <c r="E99" s="674" t="s">
        <v>428</v>
      </c>
      <c r="F99" s="674" t="s">
        <v>429</v>
      </c>
      <c r="G99" s="674" t="s">
        <v>430</v>
      </c>
      <c r="H99" s="4">
        <f>Annee</f>
        <v>2024</v>
      </c>
    </row>
    <row r="100" spans="1:12" ht="13.15" customHeight="1" x14ac:dyDescent="0.3">
      <c r="A100" s="667"/>
      <c r="B100" s="78">
        <v>12</v>
      </c>
      <c r="C100" s="675"/>
      <c r="D100" s="675"/>
      <c r="E100" s="675"/>
      <c r="F100" s="675"/>
      <c r="G100" s="675"/>
      <c r="H100" s="78">
        <v>12</v>
      </c>
      <c r="I100" s="557"/>
    </row>
    <row r="101" spans="1:12" ht="13.15" customHeight="1" x14ac:dyDescent="0.3">
      <c r="A101" s="256" t="s">
        <v>25</v>
      </c>
      <c r="B101" s="490">
        <v>1850480.0599999998</v>
      </c>
      <c r="C101" s="374" t="s">
        <v>509</v>
      </c>
      <c r="D101" s="374" t="s">
        <v>509</v>
      </c>
      <c r="E101" s="374"/>
      <c r="F101" s="374" t="s">
        <v>509</v>
      </c>
      <c r="G101" s="374">
        <v>28921.170331429923</v>
      </c>
      <c r="H101" s="69">
        <f>'2. CEP offre de base'!C26</f>
        <v>1879401.2303314297</v>
      </c>
      <c r="I101" s="556"/>
      <c r="J101" s="242" t="str">
        <f t="shared" ref="J101:J110" si="24">IF(SUM(B101:G101)=H101,"",FALSE)</f>
        <v/>
      </c>
      <c r="K101" s="542"/>
      <c r="L101" s="6"/>
    </row>
    <row r="102" spans="1:12" ht="13.15" customHeight="1" x14ac:dyDescent="0.3">
      <c r="A102" s="256" t="s">
        <v>193</v>
      </c>
      <c r="B102" s="490">
        <v>501185.17999999993</v>
      </c>
      <c r="C102" s="374" t="s">
        <v>509</v>
      </c>
      <c r="D102" s="374" t="s">
        <v>509</v>
      </c>
      <c r="E102" s="374">
        <v>197000</v>
      </c>
      <c r="F102" s="374" t="s">
        <v>509</v>
      </c>
      <c r="G102" s="374">
        <v>73283.620000000112</v>
      </c>
      <c r="H102" s="69">
        <f>'2. CEP offre de base'!C27</f>
        <v>771468.80000000005</v>
      </c>
      <c r="I102" s="556"/>
      <c r="J102" s="242" t="str">
        <f t="shared" si="24"/>
        <v/>
      </c>
      <c r="K102" s="542"/>
      <c r="L102" s="6"/>
    </row>
    <row r="103" spans="1:12" ht="13.15" customHeight="1" x14ac:dyDescent="0.3">
      <c r="A103" s="256" t="s">
        <v>164</v>
      </c>
      <c r="B103" s="490">
        <v>8832116.7966795769</v>
      </c>
      <c r="C103" s="374" t="s">
        <v>509</v>
      </c>
      <c r="D103" s="374">
        <v>377174.60777676292</v>
      </c>
      <c r="E103" s="374" t="s">
        <v>509</v>
      </c>
      <c r="F103" s="374" t="s">
        <v>509</v>
      </c>
      <c r="G103" s="374">
        <v>282213.45057556964</v>
      </c>
      <c r="H103" s="69">
        <f>'2. CEP offre de base'!C28</f>
        <v>9491504.8550319094</v>
      </c>
      <c r="I103" s="556"/>
      <c r="J103" s="242" t="str">
        <f t="shared" si="24"/>
        <v/>
      </c>
      <c r="K103" s="542"/>
      <c r="L103" s="6"/>
    </row>
    <row r="104" spans="1:12" ht="13.15" customHeight="1" x14ac:dyDescent="0.3">
      <c r="A104" s="256" t="s">
        <v>41</v>
      </c>
      <c r="B104" s="490">
        <v>1348000</v>
      </c>
      <c r="C104" s="374" t="s">
        <v>509</v>
      </c>
      <c r="D104" s="374" t="s">
        <v>509</v>
      </c>
      <c r="E104" s="374" t="s">
        <v>509</v>
      </c>
      <c r="F104" s="374" t="s">
        <v>509</v>
      </c>
      <c r="G104" s="374">
        <v>448153.5506625704</v>
      </c>
      <c r="H104" s="69">
        <f>'2. CEP offre de base'!C29</f>
        <v>1796153.5506625704</v>
      </c>
      <c r="I104" s="556"/>
      <c r="J104" s="242" t="str">
        <f>IF(SUM(B104:G104)=H104,"",FALSE)</f>
        <v/>
      </c>
      <c r="K104" s="542"/>
      <c r="L104" s="6"/>
    </row>
    <row r="105" spans="1:12" ht="13.15" customHeight="1" x14ac:dyDescent="0.3">
      <c r="A105" s="256" t="s">
        <v>43</v>
      </c>
      <c r="B105" s="490">
        <v>676786.3</v>
      </c>
      <c r="C105" s="374" t="s">
        <v>509</v>
      </c>
      <c r="D105" s="374" t="s">
        <v>509</v>
      </c>
      <c r="E105" s="374" t="s">
        <v>509</v>
      </c>
      <c r="F105" s="374" t="s">
        <v>509</v>
      </c>
      <c r="G105" s="374">
        <f>H105-B105</f>
        <v>-17701.943074021256</v>
      </c>
      <c r="H105" s="69">
        <f>'2. CEP offre de base'!C30</f>
        <v>659084.35692597879</v>
      </c>
      <c r="I105" s="556"/>
      <c r="J105" s="242" t="str">
        <f t="shared" si="24"/>
        <v/>
      </c>
      <c r="K105" s="542"/>
      <c r="L105" s="6"/>
    </row>
    <row r="106" spans="1:12" s="171" customFormat="1" ht="13.15" customHeight="1" x14ac:dyDescent="0.3">
      <c r="A106" s="371" t="s">
        <v>178</v>
      </c>
      <c r="B106" s="490">
        <v>675226.67</v>
      </c>
      <c r="C106" s="374" t="s">
        <v>509</v>
      </c>
      <c r="D106" s="374" t="s">
        <v>509</v>
      </c>
      <c r="E106" s="374" t="s">
        <v>509</v>
      </c>
      <c r="F106" s="374" t="s">
        <v>509</v>
      </c>
      <c r="G106" s="374">
        <v>-490343.62555555598</v>
      </c>
      <c r="H106" s="490">
        <f>'2. CEP offre de base'!C31</f>
        <v>184883.04444444444</v>
      </c>
      <c r="I106" s="556"/>
      <c r="J106" s="242" t="str">
        <f t="shared" si="24"/>
        <v/>
      </c>
      <c r="K106" s="542"/>
      <c r="L106" s="6"/>
    </row>
    <row r="107" spans="1:12" s="171" customFormat="1" ht="13.15" customHeight="1" x14ac:dyDescent="0.3">
      <c r="A107" s="371" t="s">
        <v>180</v>
      </c>
      <c r="B107" s="490">
        <v>178208</v>
      </c>
      <c r="C107" s="374" t="s">
        <v>509</v>
      </c>
      <c r="D107" s="374" t="s">
        <v>509</v>
      </c>
      <c r="E107" s="374">
        <f>H107-B107</f>
        <v>191792</v>
      </c>
      <c r="F107" s="374" t="s">
        <v>509</v>
      </c>
      <c r="G107" s="374"/>
      <c r="H107" s="490">
        <f>'2. CEP offre de base'!C32</f>
        <v>370000</v>
      </c>
      <c r="I107" s="556"/>
      <c r="J107" s="242" t="str">
        <f t="shared" si="24"/>
        <v/>
      </c>
      <c r="K107" s="542"/>
      <c r="L107" s="6"/>
    </row>
    <row r="108" spans="1:12" s="171" customFormat="1" ht="13.15" customHeight="1" x14ac:dyDescent="0.3">
      <c r="A108" s="371" t="s">
        <v>45</v>
      </c>
      <c r="B108" s="490">
        <v>3125144.9699999876</v>
      </c>
      <c r="C108" s="374" t="s">
        <v>509</v>
      </c>
      <c r="D108" s="374">
        <v>79528.610794485605</v>
      </c>
      <c r="E108" s="374">
        <v>97067.1606598738</v>
      </c>
      <c r="F108" s="374" t="s">
        <v>509</v>
      </c>
      <c r="G108" s="374">
        <v>138175.48027411941</v>
      </c>
      <c r="H108" s="490">
        <f>'2. CEP offre de base'!C33</f>
        <v>3439916.2217284665</v>
      </c>
      <c r="I108" s="556"/>
      <c r="J108" s="242" t="str">
        <f t="shared" si="24"/>
        <v/>
      </c>
      <c r="K108" s="542"/>
      <c r="L108" s="6"/>
    </row>
    <row r="109" spans="1:12" s="171" customFormat="1" ht="13.15" customHeight="1" x14ac:dyDescent="0.3">
      <c r="A109" s="371" t="s">
        <v>109</v>
      </c>
      <c r="B109" s="490">
        <v>1481031.1700000002</v>
      </c>
      <c r="C109" s="374" t="s">
        <v>509</v>
      </c>
      <c r="D109" s="374" t="s">
        <v>509</v>
      </c>
      <c r="E109" s="374" t="s">
        <v>509</v>
      </c>
      <c r="F109" s="374" t="s">
        <v>509</v>
      </c>
      <c r="G109" s="374">
        <f>H109-B109</f>
        <v>-1181031.1700000002</v>
      </c>
      <c r="H109" s="490">
        <f>'5.Charges fixes'!C112</f>
        <v>300000</v>
      </c>
      <c r="I109" s="556"/>
      <c r="J109" s="242" t="str">
        <f t="shared" si="24"/>
        <v/>
      </c>
      <c r="K109" s="542"/>
      <c r="L109" s="6"/>
    </row>
    <row r="110" spans="1:12" ht="13.15" customHeight="1" x14ac:dyDescent="0.3">
      <c r="A110" s="256" t="s">
        <v>206</v>
      </c>
      <c r="B110" s="490">
        <v>544533</v>
      </c>
      <c r="C110" s="374" t="s">
        <v>509</v>
      </c>
      <c r="D110" s="374" t="s">
        <v>509</v>
      </c>
      <c r="E110" s="374" t="s">
        <v>509</v>
      </c>
      <c r="F110" s="374" t="s">
        <v>509</v>
      </c>
      <c r="G110" s="374">
        <f>H110-B110</f>
        <v>893320.25954312924</v>
      </c>
      <c r="H110" s="69">
        <f>'5.Charges fixes'!C113</f>
        <v>1437853.2595431292</v>
      </c>
      <c r="I110" s="556"/>
      <c r="J110" s="242" t="str">
        <f t="shared" si="24"/>
        <v/>
      </c>
      <c r="K110" s="542"/>
      <c r="L110" s="6"/>
    </row>
    <row r="111" spans="1:12" ht="13" x14ac:dyDescent="0.3">
      <c r="A111" s="18" t="s">
        <v>8</v>
      </c>
      <c r="B111" s="20">
        <f>SUM(B101:B110)</f>
        <v>19212712.146679565</v>
      </c>
      <c r="C111" s="19">
        <f t="shared" ref="C111:H111" si="25">SUM(C101:C110)</f>
        <v>0</v>
      </c>
      <c r="D111" s="19">
        <f t="shared" si="25"/>
        <v>456703.21857124852</v>
      </c>
      <c r="E111" s="19">
        <f t="shared" si="25"/>
        <v>485859.1606598738</v>
      </c>
      <c r="F111" s="19">
        <f>SUM(F101:F110)</f>
        <v>0</v>
      </c>
      <c r="G111" s="19">
        <f t="shared" si="25"/>
        <v>174990.79275724129</v>
      </c>
      <c r="H111" s="20">
        <f t="shared" si="25"/>
        <v>20330265.318667926</v>
      </c>
      <c r="I111" s="556"/>
      <c r="J111" s="242" t="str">
        <f t="shared" ref="J111" si="26">IF(SUM(B111:G111)=H111,"",FALSE)</f>
        <v/>
      </c>
      <c r="K111" s="542"/>
      <c r="L111" s="6"/>
    </row>
    <row r="113" spans="1:11" ht="13.15" customHeight="1" x14ac:dyDescent="0.3">
      <c r="B113" s="11"/>
      <c r="C113" s="11"/>
      <c r="D113" s="11"/>
      <c r="E113" s="11"/>
      <c r="F113" s="11"/>
      <c r="G113" s="11"/>
      <c r="H113" s="11"/>
    </row>
    <row r="114" spans="1:11" ht="13.15" customHeight="1" x14ac:dyDescent="0.3">
      <c r="B114" s="167"/>
      <c r="C114" s="167"/>
      <c r="D114" s="167"/>
      <c r="E114" s="167"/>
      <c r="F114" s="167"/>
      <c r="G114" s="167"/>
      <c r="H114" s="167"/>
    </row>
    <row r="115" spans="1:11" ht="13.15" customHeight="1" x14ac:dyDescent="0.3">
      <c r="F115" s="558"/>
      <c r="G115" s="484"/>
    </row>
    <row r="116" spans="1:11" ht="13.15" customHeight="1" x14ac:dyDescent="0.3">
      <c r="B116" s="13"/>
      <c r="C116" s="231"/>
      <c r="D116" s="231"/>
      <c r="E116" s="231"/>
      <c r="F116" s="559"/>
      <c r="G116" s="484"/>
      <c r="H116" s="231"/>
    </row>
    <row r="117" spans="1:11" ht="13.15" customHeight="1" x14ac:dyDescent="0.3">
      <c r="B117" s="167"/>
      <c r="C117" s="232"/>
      <c r="D117" s="168"/>
      <c r="E117" s="168"/>
      <c r="F117" s="560"/>
      <c r="G117" s="562"/>
      <c r="H117" s="168"/>
    </row>
    <row r="118" spans="1:11" s="271" customFormat="1" ht="13.15" customHeight="1" x14ac:dyDescent="0.35">
      <c r="A118" s="2"/>
      <c r="B118" s="2"/>
      <c r="C118" s="2"/>
      <c r="D118" s="2"/>
      <c r="E118" s="2"/>
      <c r="F118" s="558"/>
      <c r="G118" s="563"/>
      <c r="H118" s="2"/>
      <c r="I118" s="268"/>
      <c r="J118" s="268"/>
      <c r="K118" s="2"/>
    </row>
    <row r="119" spans="1:11" s="271" customFormat="1" ht="13.15" customHeight="1" x14ac:dyDescent="0.35">
      <c r="A119" s="2"/>
      <c r="B119" s="11"/>
      <c r="C119" s="11"/>
      <c r="D119" s="11"/>
      <c r="E119" s="11"/>
      <c r="F119" s="561"/>
      <c r="G119" s="323"/>
      <c r="H119" s="11"/>
      <c r="I119" s="268"/>
      <c r="J119" s="268"/>
      <c r="K119" s="2"/>
    </row>
    <row r="120" spans="1:11" s="271" customFormat="1" ht="13.15" customHeight="1" x14ac:dyDescent="0.35">
      <c r="A120" s="2"/>
      <c r="B120" s="2"/>
      <c r="C120" s="11"/>
      <c r="D120" s="11"/>
      <c r="E120" s="11"/>
      <c r="F120" s="561"/>
      <c r="G120" s="323"/>
      <c r="H120" s="11"/>
      <c r="I120" s="268"/>
      <c r="J120" s="268"/>
      <c r="K120" s="2"/>
    </row>
    <row r="121" spans="1:11" s="271" customFormat="1" ht="13.15" customHeight="1" x14ac:dyDescent="0.35">
      <c r="A121" s="171"/>
      <c r="B121" s="2"/>
      <c r="C121" s="11"/>
      <c r="D121" s="11"/>
      <c r="E121" s="11"/>
      <c r="F121" s="561"/>
      <c r="G121" s="561"/>
      <c r="H121" s="11"/>
      <c r="I121" s="268"/>
      <c r="J121" s="268"/>
      <c r="K121" s="2"/>
    </row>
    <row r="122" spans="1:11" s="271" customFormat="1" ht="13.15" customHeight="1" x14ac:dyDescent="0.35">
      <c r="A122" s="171"/>
      <c r="B122" s="2"/>
      <c r="C122" s="11"/>
      <c r="D122" s="11"/>
      <c r="E122" s="11"/>
      <c r="F122" s="561"/>
      <c r="G122" s="561"/>
      <c r="H122" s="11"/>
      <c r="I122" s="268"/>
      <c r="J122" s="268"/>
      <c r="K122" s="2"/>
    </row>
    <row r="123" spans="1:11" s="271" customFormat="1" ht="13.15" customHeight="1" x14ac:dyDescent="0.35">
      <c r="A123" s="171"/>
      <c r="B123" s="2"/>
      <c r="C123" s="11"/>
      <c r="D123" s="11"/>
      <c r="E123" s="11"/>
      <c r="F123" s="561"/>
      <c r="G123" s="561"/>
      <c r="H123" s="11"/>
      <c r="I123" s="268"/>
      <c r="J123" s="268"/>
      <c r="K123" s="2"/>
    </row>
    <row r="124" spans="1:11" s="271" customFormat="1" ht="13.15" customHeight="1" x14ac:dyDescent="0.35">
      <c r="A124" s="171"/>
      <c r="B124" s="2"/>
      <c r="C124" s="233"/>
      <c r="D124" s="233"/>
      <c r="E124" s="233"/>
      <c r="F124" s="233"/>
      <c r="G124" s="233"/>
      <c r="H124" s="233"/>
      <c r="I124" s="268"/>
      <c r="J124" s="268"/>
      <c r="K124" s="2"/>
    </row>
    <row r="125" spans="1:11" s="271" customFormat="1" ht="13.15" customHeight="1" x14ac:dyDescent="0.35">
      <c r="A125" s="171"/>
      <c r="B125" s="2"/>
      <c r="C125" s="11"/>
      <c r="D125" s="11"/>
      <c r="E125" s="11"/>
      <c r="F125" s="11"/>
      <c r="G125" s="11"/>
      <c r="H125" s="11"/>
      <c r="I125" s="268"/>
      <c r="J125" s="268"/>
      <c r="K125" s="2"/>
    </row>
    <row r="126" spans="1:11" s="271" customFormat="1" ht="13.15" customHeight="1" x14ac:dyDescent="0.35">
      <c r="A126" s="171"/>
      <c r="B126" s="2"/>
      <c r="C126" s="11"/>
      <c r="D126" s="11"/>
      <c r="E126" s="11"/>
      <c r="F126" s="11"/>
      <c r="G126" s="11"/>
      <c r="H126" s="11"/>
      <c r="I126" s="268"/>
      <c r="J126" s="268"/>
      <c r="K126" s="2"/>
    </row>
    <row r="127" spans="1:11" s="271" customFormat="1" ht="13.15" customHeight="1" x14ac:dyDescent="0.35">
      <c r="A127" s="171"/>
      <c r="B127" s="2"/>
      <c r="C127" s="163"/>
      <c r="D127" s="163"/>
      <c r="E127" s="163"/>
      <c r="F127" s="163"/>
      <c r="G127" s="163"/>
      <c r="H127" s="163"/>
      <c r="I127" s="268"/>
      <c r="J127" s="268"/>
      <c r="K127" s="2"/>
    </row>
    <row r="128" spans="1:11" s="271" customFormat="1" ht="13.15" customHeight="1" x14ac:dyDescent="0.35">
      <c r="A128" s="171"/>
      <c r="B128" s="2"/>
      <c r="C128" s="11"/>
      <c r="D128" s="11"/>
      <c r="E128" s="11"/>
      <c r="F128" s="11"/>
      <c r="G128" s="11"/>
      <c r="H128" s="11"/>
      <c r="I128" s="268"/>
      <c r="J128" s="268"/>
      <c r="K128" s="2"/>
    </row>
    <row r="129" spans="1:11" s="271" customFormat="1" ht="13.15" customHeight="1" x14ac:dyDescent="0.35">
      <c r="A129" s="171"/>
      <c r="B129" s="2"/>
      <c r="C129" s="11"/>
      <c r="D129" s="11"/>
      <c r="E129" s="11"/>
      <c r="F129" s="11"/>
      <c r="G129" s="11"/>
      <c r="H129" s="11"/>
      <c r="I129" s="268"/>
      <c r="J129" s="268"/>
      <c r="K129" s="2"/>
    </row>
    <row r="130" spans="1:11" s="271" customFormat="1" ht="13.15" customHeight="1" x14ac:dyDescent="0.35">
      <c r="A130" s="171"/>
      <c r="B130" s="2"/>
      <c r="C130" s="11"/>
      <c r="D130" s="11"/>
      <c r="E130" s="11"/>
      <c r="F130" s="11"/>
      <c r="G130" s="11"/>
      <c r="H130" s="11"/>
      <c r="I130" s="268"/>
      <c r="J130" s="268"/>
      <c r="K130" s="2"/>
    </row>
    <row r="131" spans="1:11" s="271" customFormat="1" ht="13.15" customHeight="1" x14ac:dyDescent="0.35">
      <c r="A131" s="171"/>
      <c r="B131" s="2"/>
      <c r="C131" s="11"/>
      <c r="D131" s="11"/>
      <c r="E131" s="11"/>
      <c r="F131" s="11"/>
      <c r="G131" s="11"/>
      <c r="H131" s="11"/>
      <c r="I131" s="268"/>
      <c r="J131" s="268"/>
      <c r="K131" s="2"/>
    </row>
    <row r="132" spans="1:11" s="271" customFormat="1" ht="13.15" customHeight="1" x14ac:dyDescent="0.35">
      <c r="A132" s="171"/>
      <c r="B132" s="2"/>
      <c r="C132" s="11"/>
      <c r="D132" s="11"/>
      <c r="E132" s="11"/>
      <c r="F132" s="11"/>
      <c r="G132" s="11"/>
      <c r="H132" s="11"/>
      <c r="I132" s="268"/>
      <c r="J132" s="268"/>
      <c r="K132" s="2"/>
    </row>
    <row r="133" spans="1:11" s="271" customFormat="1" ht="13.15" customHeight="1" x14ac:dyDescent="0.35">
      <c r="A133" s="171"/>
      <c r="B133" s="2"/>
      <c r="C133" s="11"/>
      <c r="D133" s="11"/>
      <c r="E133" s="11"/>
      <c r="F133" s="11"/>
      <c r="G133" s="11"/>
      <c r="H133" s="11"/>
      <c r="I133" s="268"/>
      <c r="J133" s="268"/>
      <c r="K133" s="2"/>
    </row>
    <row r="134" spans="1:11" s="271" customFormat="1" ht="13.15" customHeight="1" x14ac:dyDescent="0.35">
      <c r="A134" s="171"/>
      <c r="B134" s="2"/>
      <c r="C134" s="11"/>
      <c r="D134" s="11"/>
      <c r="E134" s="11"/>
      <c r="F134" s="11"/>
      <c r="G134" s="11"/>
      <c r="H134" s="11"/>
      <c r="I134" s="268"/>
      <c r="J134" s="268"/>
      <c r="K134" s="2"/>
    </row>
    <row r="135" spans="1:11" s="271" customFormat="1" ht="13.15" customHeight="1" x14ac:dyDescent="0.35">
      <c r="A135" s="171"/>
      <c r="B135" s="2"/>
      <c r="C135" s="11"/>
      <c r="D135" s="11"/>
      <c r="E135" s="11"/>
      <c r="F135" s="11"/>
      <c r="G135" s="11"/>
      <c r="H135" s="11"/>
      <c r="I135" s="268"/>
      <c r="J135" s="268"/>
      <c r="K135" s="2"/>
    </row>
    <row r="136" spans="1:11" s="271" customFormat="1" ht="13.15" customHeight="1" x14ac:dyDescent="0.35">
      <c r="A136" s="2"/>
      <c r="B136" s="2"/>
      <c r="C136" s="2"/>
      <c r="D136" s="2"/>
      <c r="E136" s="2"/>
      <c r="F136" s="2"/>
      <c r="G136" s="2"/>
      <c r="H136" s="2"/>
      <c r="I136" s="268"/>
      <c r="J136" s="268"/>
      <c r="K136" s="2"/>
    </row>
    <row r="137" spans="1:11" s="271" customFormat="1" ht="13.15" customHeight="1" x14ac:dyDescent="0.35">
      <c r="A137" s="2"/>
      <c r="B137" s="11"/>
      <c r="C137" s="11"/>
      <c r="D137" s="11"/>
      <c r="E137" s="11"/>
      <c r="F137" s="11"/>
      <c r="G137" s="11"/>
      <c r="H137" s="11"/>
      <c r="I137" s="268"/>
      <c r="J137" s="268"/>
      <c r="K137" s="2"/>
    </row>
    <row r="138" spans="1:11" s="271" customFormat="1" ht="13.15" customHeight="1" x14ac:dyDescent="0.35">
      <c r="A138" s="2"/>
      <c r="B138" s="2"/>
      <c r="C138" s="2"/>
      <c r="D138" s="2"/>
      <c r="E138" s="2"/>
      <c r="F138" s="2"/>
      <c r="G138" s="2"/>
      <c r="H138" s="2"/>
      <c r="I138" s="268"/>
      <c r="J138" s="268"/>
      <c r="K138" s="2"/>
    </row>
    <row r="139" spans="1:11" s="271" customFormat="1" ht="13.15" customHeight="1" x14ac:dyDescent="0.35">
      <c r="A139" s="2"/>
      <c r="B139" s="2"/>
      <c r="C139" s="11"/>
      <c r="D139" s="11"/>
      <c r="E139" s="2"/>
      <c r="F139" s="2"/>
      <c r="G139" s="2"/>
      <c r="H139" s="2"/>
      <c r="I139" s="268"/>
      <c r="J139" s="268"/>
      <c r="K139" s="2"/>
    </row>
    <row r="140" spans="1:11" s="271" customFormat="1" ht="13.15" customHeight="1" x14ac:dyDescent="0.35">
      <c r="A140" s="2"/>
      <c r="B140" s="2"/>
      <c r="C140" s="2"/>
      <c r="D140" s="2"/>
      <c r="E140" s="2"/>
      <c r="F140" s="2"/>
      <c r="G140" s="2"/>
      <c r="H140" s="2"/>
      <c r="I140" s="268"/>
      <c r="J140" s="268"/>
      <c r="K140" s="2"/>
    </row>
    <row r="141" spans="1:11" s="271" customFormat="1" ht="13.15" customHeight="1" x14ac:dyDescent="0.35">
      <c r="A141" s="2"/>
      <c r="B141" s="2"/>
      <c r="C141" s="2"/>
      <c r="D141" s="2"/>
      <c r="E141" s="2"/>
      <c r="F141" s="2"/>
      <c r="G141" s="2"/>
      <c r="H141" s="2"/>
      <c r="I141" s="268"/>
      <c r="J141" s="268"/>
      <c r="K141" s="2"/>
    </row>
    <row r="142" spans="1:11" s="271" customFormat="1" ht="13.15" customHeight="1" x14ac:dyDescent="0.35">
      <c r="A142" s="2"/>
      <c r="B142" s="2"/>
      <c r="C142" s="2"/>
      <c r="D142" s="2"/>
      <c r="E142" s="2"/>
      <c r="F142" s="2"/>
      <c r="G142" s="2"/>
      <c r="H142" s="2"/>
      <c r="I142" s="268"/>
      <c r="J142" s="268"/>
      <c r="K142" s="2"/>
    </row>
    <row r="143" spans="1:11" s="271" customFormat="1" ht="13.15" customHeight="1" x14ac:dyDescent="0.35">
      <c r="A143" s="2"/>
      <c r="B143" s="2"/>
      <c r="C143" s="2"/>
      <c r="D143" s="2"/>
      <c r="E143" s="2"/>
      <c r="F143" s="2"/>
      <c r="G143" s="2"/>
      <c r="H143" s="2"/>
      <c r="I143" s="268"/>
      <c r="J143" s="268"/>
      <c r="K143" s="2"/>
    </row>
    <row r="144" spans="1:11" s="271" customFormat="1" ht="13.15" customHeight="1" x14ac:dyDescent="0.35">
      <c r="A144" s="2"/>
      <c r="B144" s="2"/>
      <c r="C144" s="2"/>
      <c r="D144" s="2"/>
      <c r="E144" s="2"/>
      <c r="F144" s="2"/>
      <c r="G144" s="2"/>
      <c r="H144" s="2"/>
      <c r="I144" s="268"/>
      <c r="J144" s="268"/>
      <c r="K144" s="2"/>
    </row>
    <row r="145" spans="1:11" s="271" customFormat="1" ht="13.15" customHeight="1" x14ac:dyDescent="0.35">
      <c r="A145" s="2"/>
      <c r="B145" s="2"/>
      <c r="C145" s="2"/>
      <c r="D145" s="2"/>
      <c r="E145" s="2"/>
      <c r="F145" s="2"/>
      <c r="G145" s="2"/>
      <c r="H145" s="2"/>
      <c r="I145" s="268"/>
      <c r="J145" s="268"/>
      <c r="K145" s="2"/>
    </row>
    <row r="146" spans="1:11" s="271" customFormat="1" ht="13.15" customHeight="1" x14ac:dyDescent="0.35">
      <c r="A146" s="2"/>
      <c r="B146" s="2"/>
      <c r="C146" s="2"/>
      <c r="D146" s="2"/>
      <c r="E146" s="2"/>
      <c r="F146" s="2"/>
      <c r="G146" s="2"/>
      <c r="H146" s="2"/>
      <c r="I146" s="268"/>
      <c r="J146" s="268"/>
      <c r="K146" s="2"/>
    </row>
    <row r="147" spans="1:11" s="271" customFormat="1" ht="13.15" customHeight="1" x14ac:dyDescent="0.35">
      <c r="A147" s="2"/>
      <c r="B147" s="2"/>
      <c r="C147" s="2"/>
      <c r="D147" s="2"/>
      <c r="E147" s="2"/>
      <c r="F147" s="2"/>
      <c r="G147" s="2"/>
      <c r="H147" s="2"/>
      <c r="I147" s="268"/>
      <c r="J147" s="268"/>
      <c r="K147" s="2"/>
    </row>
    <row r="148" spans="1:11" s="271" customFormat="1" ht="13.15" customHeight="1" x14ac:dyDescent="0.35">
      <c r="A148" s="2"/>
      <c r="B148" s="2"/>
      <c r="C148" s="2"/>
      <c r="D148" s="2"/>
      <c r="E148" s="2"/>
      <c r="F148" s="2"/>
      <c r="G148" s="2"/>
      <c r="H148" s="2"/>
      <c r="I148" s="268"/>
      <c r="J148" s="268"/>
      <c r="K148" s="2"/>
    </row>
    <row r="149" spans="1:11" s="271" customFormat="1" ht="13.15" customHeight="1" x14ac:dyDescent="0.35">
      <c r="A149" s="2"/>
      <c r="B149" s="2"/>
      <c r="C149" s="2"/>
      <c r="D149" s="2"/>
      <c r="E149" s="2"/>
      <c r="F149" s="2"/>
      <c r="G149" s="2"/>
      <c r="H149" s="2"/>
      <c r="I149" s="268"/>
      <c r="J149" s="268"/>
      <c r="K149" s="2"/>
    </row>
    <row r="150" spans="1:11" s="271" customFormat="1" ht="13.15" customHeight="1" x14ac:dyDescent="0.35">
      <c r="A150" s="2"/>
      <c r="B150" s="2"/>
      <c r="C150" s="2"/>
      <c r="D150" s="2"/>
      <c r="E150" s="2"/>
      <c r="F150" s="2"/>
      <c r="G150" s="2"/>
      <c r="H150" s="2"/>
      <c r="I150" s="268"/>
      <c r="J150" s="268"/>
      <c r="K150" s="2"/>
    </row>
    <row r="151" spans="1:11" s="271" customFormat="1" ht="13.15" customHeight="1" x14ac:dyDescent="0.35">
      <c r="A151" s="2"/>
      <c r="B151" s="2"/>
      <c r="C151" s="2"/>
      <c r="D151" s="2"/>
      <c r="E151" s="2"/>
      <c r="F151" s="2"/>
      <c r="G151" s="2"/>
      <c r="H151" s="2"/>
      <c r="I151" s="268"/>
      <c r="J151" s="268"/>
      <c r="K151" s="2"/>
    </row>
    <row r="152" spans="1:11" s="271" customFormat="1" ht="13.15" customHeight="1" x14ac:dyDescent="0.35">
      <c r="A152" s="2"/>
      <c r="B152" s="2"/>
      <c r="C152" s="2"/>
      <c r="D152" s="2"/>
      <c r="E152" s="2"/>
      <c r="F152" s="2"/>
      <c r="G152" s="2"/>
      <c r="H152" s="2"/>
      <c r="I152" s="268"/>
      <c r="J152" s="268"/>
      <c r="K152" s="2"/>
    </row>
    <row r="153" spans="1:11" s="271" customFormat="1" ht="13.15" customHeight="1" x14ac:dyDescent="0.35">
      <c r="A153" s="2"/>
      <c r="B153" s="2"/>
      <c r="C153" s="2"/>
      <c r="D153" s="2"/>
      <c r="E153" s="2"/>
      <c r="F153" s="2"/>
      <c r="G153" s="2"/>
      <c r="H153" s="2"/>
      <c r="I153" s="268"/>
      <c r="J153" s="268"/>
      <c r="K153" s="2"/>
    </row>
    <row r="154" spans="1:11" s="271" customFormat="1" ht="13.15" customHeight="1" x14ac:dyDescent="0.35">
      <c r="A154" s="2"/>
      <c r="B154" s="2"/>
      <c r="C154" s="2"/>
      <c r="D154" s="2"/>
      <c r="E154" s="2"/>
      <c r="F154" s="2"/>
      <c r="G154" s="2"/>
      <c r="H154" s="2"/>
      <c r="I154" s="268"/>
      <c r="J154" s="268"/>
      <c r="K154" s="2"/>
    </row>
    <row r="155" spans="1:11" s="271" customFormat="1" ht="13.15" customHeight="1" x14ac:dyDescent="0.35">
      <c r="A155" s="2"/>
      <c r="B155" s="2"/>
      <c r="C155" s="2"/>
      <c r="D155" s="2"/>
      <c r="E155" s="2"/>
      <c r="F155" s="2"/>
      <c r="G155" s="2"/>
      <c r="H155" s="2"/>
      <c r="I155" s="268"/>
      <c r="J155" s="268"/>
      <c r="K155" s="2"/>
    </row>
    <row r="156" spans="1:11" s="271" customFormat="1" ht="13.15" customHeight="1" x14ac:dyDescent="0.35">
      <c r="A156" s="2"/>
      <c r="B156" s="2"/>
      <c r="C156" s="2"/>
      <c r="D156" s="2"/>
      <c r="E156" s="2"/>
      <c r="F156" s="2"/>
      <c r="G156" s="2"/>
      <c r="H156" s="2"/>
      <c r="I156" s="268"/>
      <c r="J156" s="268"/>
      <c r="K156" s="2"/>
    </row>
    <row r="157" spans="1:11" s="271" customFormat="1" ht="13.15" customHeight="1" x14ac:dyDescent="0.35">
      <c r="A157" s="2"/>
      <c r="B157" s="2"/>
      <c r="C157" s="2"/>
      <c r="D157" s="2"/>
      <c r="E157" s="2"/>
      <c r="F157" s="2"/>
      <c r="G157" s="2"/>
      <c r="H157" s="2"/>
      <c r="I157" s="268"/>
      <c r="J157" s="268"/>
      <c r="K157" s="2"/>
    </row>
    <row r="158" spans="1:11" s="271" customFormat="1" ht="13.15" customHeight="1" x14ac:dyDescent="0.35">
      <c r="A158" s="2"/>
      <c r="B158" s="2"/>
      <c r="C158" s="2"/>
      <c r="D158" s="2"/>
      <c r="E158" s="2"/>
      <c r="F158" s="2"/>
      <c r="G158" s="2"/>
      <c r="H158" s="2"/>
      <c r="I158" s="268"/>
      <c r="J158" s="268"/>
      <c r="K158" s="2"/>
    </row>
    <row r="159" spans="1:11" s="271" customFormat="1" ht="13.15" customHeight="1" x14ac:dyDescent="0.35">
      <c r="A159" s="2"/>
      <c r="B159" s="2"/>
      <c r="C159" s="2"/>
      <c r="D159" s="2"/>
      <c r="E159" s="2"/>
      <c r="F159" s="2"/>
      <c r="G159" s="2"/>
      <c r="H159" s="2"/>
      <c r="I159" s="268"/>
      <c r="J159" s="268"/>
      <c r="K159" s="2"/>
    </row>
    <row r="160" spans="1:11" s="271" customFormat="1" ht="13.15" customHeight="1" x14ac:dyDescent="0.35">
      <c r="A160" s="2"/>
      <c r="B160" s="2"/>
      <c r="C160" s="2"/>
      <c r="D160" s="2"/>
      <c r="E160" s="2"/>
      <c r="F160" s="2"/>
      <c r="G160" s="2"/>
      <c r="H160" s="2"/>
      <c r="I160" s="268"/>
      <c r="J160" s="268"/>
      <c r="K160" s="2"/>
    </row>
    <row r="161" spans="1:11" s="271" customFormat="1" ht="13.15" customHeight="1" x14ac:dyDescent="0.35">
      <c r="A161" s="2"/>
      <c r="B161" s="2"/>
      <c r="C161" s="2"/>
      <c r="D161" s="2"/>
      <c r="E161" s="2"/>
      <c r="F161" s="2"/>
      <c r="G161" s="2"/>
      <c r="H161" s="2"/>
      <c r="I161" s="268"/>
      <c r="J161" s="268"/>
      <c r="K161" s="2"/>
    </row>
    <row r="162" spans="1:11" s="271" customFormat="1" ht="13.15" customHeight="1" x14ac:dyDescent="0.35">
      <c r="A162" s="2"/>
      <c r="B162" s="2"/>
      <c r="C162" s="2"/>
      <c r="D162" s="2"/>
      <c r="E162" s="2"/>
      <c r="F162" s="2"/>
      <c r="G162" s="2"/>
      <c r="H162" s="2"/>
      <c r="I162" s="268"/>
      <c r="J162" s="268"/>
      <c r="K162" s="2"/>
    </row>
    <row r="163" spans="1:11" s="271" customFormat="1" ht="13.15" customHeight="1" x14ac:dyDescent="0.35">
      <c r="A163" s="2"/>
      <c r="B163" s="2"/>
      <c r="C163" s="2"/>
      <c r="D163" s="2"/>
      <c r="E163" s="2"/>
      <c r="F163" s="2"/>
      <c r="G163" s="2"/>
      <c r="H163" s="2"/>
      <c r="I163" s="268"/>
      <c r="J163" s="268"/>
      <c r="K163" s="2"/>
    </row>
    <row r="164" spans="1:11" s="271" customFormat="1" ht="13.15" customHeight="1" x14ac:dyDescent="0.35">
      <c r="A164" s="2"/>
      <c r="B164" s="2"/>
      <c r="C164" s="2"/>
      <c r="D164" s="2"/>
      <c r="E164" s="2"/>
      <c r="F164" s="2"/>
      <c r="G164" s="2"/>
      <c r="H164" s="2"/>
      <c r="I164" s="268"/>
      <c r="J164" s="268"/>
      <c r="K164" s="2"/>
    </row>
    <row r="165" spans="1:11" s="271" customFormat="1" ht="13.15" customHeight="1" x14ac:dyDescent="0.35">
      <c r="A165" s="2"/>
      <c r="B165" s="2"/>
      <c r="C165" s="2"/>
      <c r="D165" s="2"/>
      <c r="E165" s="2"/>
      <c r="F165" s="2"/>
      <c r="G165" s="2"/>
      <c r="H165" s="2"/>
      <c r="I165" s="268"/>
      <c r="J165" s="268"/>
      <c r="K165" s="2"/>
    </row>
    <row r="166" spans="1:11" s="271" customFormat="1" ht="13.15" customHeight="1" x14ac:dyDescent="0.35">
      <c r="A166" s="2"/>
      <c r="B166" s="2"/>
      <c r="C166" s="2"/>
      <c r="D166" s="2"/>
      <c r="E166" s="2"/>
      <c r="F166" s="2"/>
      <c r="G166" s="2"/>
      <c r="H166" s="2"/>
      <c r="I166" s="268"/>
      <c r="J166" s="268"/>
      <c r="K166" s="2"/>
    </row>
    <row r="167" spans="1:11" s="271" customFormat="1" ht="13.15" customHeight="1" x14ac:dyDescent="0.35">
      <c r="A167" s="2"/>
      <c r="B167" s="2"/>
      <c r="C167" s="2"/>
      <c r="D167" s="2"/>
      <c r="E167" s="2"/>
      <c r="F167" s="2"/>
      <c r="G167" s="2"/>
      <c r="H167" s="2"/>
      <c r="I167" s="268"/>
      <c r="J167" s="268"/>
      <c r="K167" s="2"/>
    </row>
    <row r="168" spans="1:11" s="271" customFormat="1" ht="13.15" customHeight="1" x14ac:dyDescent="0.35">
      <c r="A168" s="2"/>
      <c r="B168" s="2"/>
      <c r="C168" s="2"/>
      <c r="D168" s="2"/>
      <c r="E168" s="2"/>
      <c r="F168" s="2"/>
      <c r="G168" s="2"/>
      <c r="H168" s="2"/>
      <c r="I168" s="268"/>
      <c r="J168" s="268"/>
      <c r="K168" s="2"/>
    </row>
    <row r="169" spans="1:11" s="271" customFormat="1" ht="13.15" customHeight="1" x14ac:dyDescent="0.35">
      <c r="A169" s="2"/>
      <c r="B169" s="2"/>
      <c r="C169" s="2"/>
      <c r="D169" s="2"/>
      <c r="E169" s="2"/>
      <c r="F169" s="2"/>
      <c r="G169" s="2"/>
      <c r="H169" s="2"/>
      <c r="I169" s="268"/>
      <c r="J169" s="268"/>
      <c r="K169" s="2"/>
    </row>
    <row r="170" spans="1:11" s="271" customFormat="1" ht="13.15" customHeight="1" x14ac:dyDescent="0.35">
      <c r="A170" s="2"/>
      <c r="B170" s="2"/>
      <c r="C170" s="2"/>
      <c r="D170" s="2"/>
      <c r="E170" s="2"/>
      <c r="F170" s="2"/>
      <c r="G170" s="2"/>
      <c r="H170" s="2"/>
      <c r="I170" s="268"/>
      <c r="J170" s="268"/>
      <c r="K170" s="2"/>
    </row>
    <row r="171" spans="1:11" s="271" customFormat="1" ht="13.15" customHeight="1" x14ac:dyDescent="0.35">
      <c r="A171" s="2"/>
      <c r="B171" s="2"/>
      <c r="C171" s="2"/>
      <c r="D171" s="2"/>
      <c r="E171" s="2"/>
      <c r="F171" s="2"/>
      <c r="G171" s="2"/>
      <c r="H171" s="2"/>
      <c r="I171" s="268"/>
      <c r="J171" s="268"/>
      <c r="K171" s="2"/>
    </row>
    <row r="172" spans="1:11" s="271" customFormat="1" ht="13.15" customHeight="1" x14ac:dyDescent="0.35">
      <c r="A172" s="2"/>
      <c r="B172" s="2"/>
      <c r="C172" s="2"/>
      <c r="D172" s="2"/>
      <c r="E172" s="2"/>
      <c r="F172" s="2"/>
      <c r="G172" s="2"/>
      <c r="H172" s="2"/>
      <c r="I172" s="268"/>
      <c r="J172" s="268"/>
      <c r="K172" s="2"/>
    </row>
    <row r="173" spans="1:11" s="271" customFormat="1" ht="13.15" customHeight="1" x14ac:dyDescent="0.35">
      <c r="A173" s="2"/>
      <c r="B173" s="2"/>
      <c r="C173" s="2"/>
      <c r="D173" s="2"/>
      <c r="E173" s="2"/>
      <c r="F173" s="2"/>
      <c r="G173" s="2"/>
      <c r="H173" s="2"/>
      <c r="I173" s="268"/>
      <c r="J173" s="268"/>
      <c r="K173" s="2"/>
    </row>
    <row r="174" spans="1:11" s="271" customFormat="1" ht="13.15" customHeight="1" x14ac:dyDescent="0.35">
      <c r="A174" s="2"/>
      <c r="B174" s="2"/>
      <c r="C174" s="2"/>
      <c r="D174" s="2"/>
      <c r="E174" s="2"/>
      <c r="F174" s="2"/>
      <c r="G174" s="2"/>
      <c r="H174" s="2"/>
      <c r="I174" s="268"/>
      <c r="J174" s="268"/>
      <c r="K174" s="2"/>
    </row>
    <row r="175" spans="1:11" s="271" customFormat="1" ht="13.15" customHeight="1" x14ac:dyDescent="0.35">
      <c r="A175" s="2"/>
      <c r="B175" s="2"/>
      <c r="C175" s="2"/>
      <c r="D175" s="2"/>
      <c r="E175" s="2"/>
      <c r="F175" s="2"/>
      <c r="G175" s="2"/>
      <c r="H175" s="2"/>
      <c r="I175" s="268"/>
      <c r="J175" s="268"/>
      <c r="K175" s="2"/>
    </row>
    <row r="176" spans="1:11" s="271" customFormat="1" ht="13.15" customHeight="1" x14ac:dyDescent="0.35">
      <c r="A176" s="2"/>
      <c r="B176" s="2"/>
      <c r="C176" s="2"/>
      <c r="D176" s="2"/>
      <c r="E176" s="2"/>
      <c r="F176" s="2"/>
      <c r="G176" s="2"/>
      <c r="H176" s="2"/>
      <c r="I176" s="268"/>
      <c r="J176" s="268"/>
      <c r="K176" s="2"/>
    </row>
    <row r="177" spans="1:11" s="271" customFormat="1" ht="13.15" customHeight="1" x14ac:dyDescent="0.35">
      <c r="A177" s="2"/>
      <c r="B177" s="2"/>
      <c r="C177" s="2"/>
      <c r="D177" s="2"/>
      <c r="E177" s="2"/>
      <c r="F177" s="2"/>
      <c r="G177" s="2"/>
      <c r="H177" s="2"/>
      <c r="I177" s="268"/>
      <c r="J177" s="268"/>
      <c r="K177" s="2"/>
    </row>
    <row r="178" spans="1:11" s="271" customFormat="1" ht="13.15" customHeight="1" x14ac:dyDescent="0.35">
      <c r="A178" s="2"/>
      <c r="B178" s="2"/>
      <c r="C178" s="2"/>
      <c r="D178" s="2"/>
      <c r="E178" s="2"/>
      <c r="F178" s="2"/>
      <c r="G178" s="2"/>
      <c r="H178" s="2"/>
      <c r="I178" s="268"/>
      <c r="J178" s="268"/>
      <c r="K178" s="2"/>
    </row>
    <row r="179" spans="1:11" s="271" customFormat="1" ht="13.15" customHeight="1" x14ac:dyDescent="0.35">
      <c r="A179" s="2"/>
      <c r="B179" s="2"/>
      <c r="C179" s="2"/>
      <c r="D179" s="2"/>
      <c r="E179" s="2"/>
      <c r="F179" s="2"/>
      <c r="G179" s="2"/>
      <c r="H179" s="2"/>
      <c r="I179" s="268"/>
      <c r="J179" s="268"/>
      <c r="K179" s="2"/>
    </row>
    <row r="180" spans="1:11" s="271" customFormat="1" ht="13.15" customHeight="1" x14ac:dyDescent="0.35">
      <c r="A180" s="2"/>
      <c r="B180" s="2"/>
      <c r="C180" s="2"/>
      <c r="D180" s="2"/>
      <c r="E180" s="2"/>
      <c r="F180" s="2"/>
      <c r="G180" s="2"/>
      <c r="H180" s="2"/>
      <c r="I180" s="268"/>
      <c r="J180" s="268"/>
      <c r="K180" s="2"/>
    </row>
    <row r="181" spans="1:11" s="271" customFormat="1" ht="13.15" customHeight="1" x14ac:dyDescent="0.35">
      <c r="A181" s="2"/>
      <c r="B181" s="2"/>
      <c r="C181" s="2"/>
      <c r="D181" s="2"/>
      <c r="E181" s="2"/>
      <c r="F181" s="2"/>
      <c r="G181" s="2"/>
      <c r="H181" s="2"/>
      <c r="I181" s="268"/>
      <c r="J181" s="268"/>
      <c r="K181" s="2"/>
    </row>
    <row r="182" spans="1:11" s="271" customFormat="1" ht="13.15" customHeight="1" x14ac:dyDescent="0.35">
      <c r="A182" s="2"/>
      <c r="B182" s="2"/>
      <c r="C182" s="2"/>
      <c r="D182" s="2"/>
      <c r="E182" s="2"/>
      <c r="F182" s="2"/>
      <c r="G182" s="2"/>
      <c r="H182" s="2"/>
      <c r="I182" s="268"/>
      <c r="J182" s="268"/>
      <c r="K182" s="2"/>
    </row>
    <row r="183" spans="1:11" s="271" customFormat="1" ht="13.15" customHeight="1" x14ac:dyDescent="0.35">
      <c r="A183" s="2"/>
      <c r="B183" s="2"/>
      <c r="C183" s="2"/>
      <c r="D183" s="2"/>
      <c r="E183" s="2"/>
      <c r="F183" s="2"/>
      <c r="G183" s="2"/>
      <c r="H183" s="2"/>
      <c r="I183" s="268"/>
      <c r="J183" s="268"/>
      <c r="K183" s="2"/>
    </row>
    <row r="184" spans="1:11" s="271" customFormat="1" ht="13.15" customHeight="1" x14ac:dyDescent="0.35">
      <c r="A184" s="2"/>
      <c r="B184" s="2"/>
      <c r="C184" s="2"/>
      <c r="D184" s="2"/>
      <c r="E184" s="2"/>
      <c r="F184" s="2"/>
      <c r="G184" s="2"/>
      <c r="H184" s="2"/>
      <c r="I184" s="268"/>
      <c r="J184" s="268"/>
      <c r="K184" s="2"/>
    </row>
    <row r="185" spans="1:11" s="271" customFormat="1" ht="13.15" customHeight="1" x14ac:dyDescent="0.35">
      <c r="A185" s="2"/>
      <c r="B185" s="2"/>
      <c r="C185" s="2"/>
      <c r="D185" s="2"/>
      <c r="E185" s="2"/>
      <c r="F185" s="2"/>
      <c r="G185" s="2"/>
      <c r="H185" s="2"/>
      <c r="I185" s="268"/>
      <c r="J185" s="268"/>
      <c r="K185" s="2"/>
    </row>
    <row r="186" spans="1:11" s="271" customFormat="1" ht="13.15" customHeight="1" x14ac:dyDescent="0.35">
      <c r="A186" s="2"/>
      <c r="B186" s="2"/>
      <c r="C186" s="2"/>
      <c r="D186" s="2"/>
      <c r="E186" s="2"/>
      <c r="F186" s="2"/>
      <c r="G186" s="2"/>
      <c r="H186" s="2"/>
      <c r="I186" s="268"/>
      <c r="J186" s="268"/>
      <c r="K186" s="2"/>
    </row>
    <row r="187" spans="1:11" s="271" customFormat="1" ht="13.15" customHeight="1" x14ac:dyDescent="0.35">
      <c r="A187" s="2"/>
      <c r="B187" s="2"/>
      <c r="C187" s="2"/>
      <c r="D187" s="2"/>
      <c r="E187" s="2"/>
      <c r="F187" s="2"/>
      <c r="G187" s="2"/>
      <c r="H187" s="2"/>
      <c r="I187" s="268"/>
      <c r="J187" s="268"/>
      <c r="K187" s="2"/>
    </row>
    <row r="188" spans="1:11" s="271" customFormat="1" ht="13.15" customHeight="1" x14ac:dyDescent="0.35">
      <c r="A188" s="2"/>
      <c r="B188" s="2"/>
      <c r="C188" s="2"/>
      <c r="D188" s="2"/>
      <c r="E188" s="2"/>
      <c r="F188" s="2"/>
      <c r="G188" s="2"/>
      <c r="H188" s="2"/>
      <c r="I188" s="268"/>
      <c r="J188" s="268"/>
      <c r="K188" s="2"/>
    </row>
    <row r="189" spans="1:11" s="271" customFormat="1" ht="13.15" customHeight="1" x14ac:dyDescent="0.35">
      <c r="A189" s="2"/>
      <c r="B189" s="2"/>
      <c r="C189" s="2"/>
      <c r="D189" s="2"/>
      <c r="E189" s="2"/>
      <c r="F189" s="2"/>
      <c r="G189" s="2"/>
      <c r="H189" s="2"/>
      <c r="I189" s="268"/>
      <c r="J189" s="268"/>
      <c r="K189" s="2"/>
    </row>
    <row r="190" spans="1:11" s="271" customFormat="1" ht="13.15" customHeight="1" x14ac:dyDescent="0.35">
      <c r="A190" s="2"/>
      <c r="B190" s="2"/>
      <c r="C190" s="2"/>
      <c r="D190" s="2"/>
      <c r="E190" s="2"/>
      <c r="F190" s="2"/>
      <c r="G190" s="2"/>
      <c r="H190" s="2"/>
      <c r="I190" s="268"/>
      <c r="J190" s="268"/>
      <c r="K190" s="2"/>
    </row>
    <row r="191" spans="1:11" s="271" customFormat="1" ht="13.15" customHeight="1" x14ac:dyDescent="0.35">
      <c r="A191" s="2"/>
      <c r="B191" s="2"/>
      <c r="C191" s="2"/>
      <c r="D191" s="2"/>
      <c r="E191" s="2"/>
      <c r="F191" s="2"/>
      <c r="G191" s="2"/>
      <c r="H191" s="2"/>
      <c r="I191" s="268"/>
      <c r="J191" s="268"/>
      <c r="K191" s="2"/>
    </row>
    <row r="192" spans="1:11" s="271" customFormat="1" ht="13.15" customHeight="1" x14ac:dyDescent="0.35">
      <c r="A192" s="2"/>
      <c r="B192" s="2"/>
      <c r="C192" s="2"/>
      <c r="D192" s="2"/>
      <c r="E192" s="2"/>
      <c r="F192" s="2"/>
      <c r="G192" s="2"/>
      <c r="H192" s="2"/>
      <c r="I192" s="268"/>
      <c r="J192" s="268"/>
      <c r="K192" s="2"/>
    </row>
    <row r="193" spans="1:11" s="271" customFormat="1" ht="13.15" customHeight="1" x14ac:dyDescent="0.35">
      <c r="A193" s="2"/>
      <c r="B193" s="2"/>
      <c r="C193" s="2"/>
      <c r="D193" s="2"/>
      <c r="E193" s="2"/>
      <c r="F193" s="2"/>
      <c r="G193" s="2"/>
      <c r="H193" s="2"/>
      <c r="I193" s="268"/>
      <c r="J193" s="268"/>
      <c r="K193" s="2"/>
    </row>
    <row r="194" spans="1:11" s="271" customFormat="1" ht="13.15" customHeight="1" x14ac:dyDescent="0.35">
      <c r="A194" s="2"/>
      <c r="B194" s="2"/>
      <c r="C194" s="2"/>
      <c r="D194" s="2"/>
      <c r="E194" s="2"/>
      <c r="F194" s="2"/>
      <c r="G194" s="2"/>
      <c r="H194" s="2"/>
      <c r="I194" s="268"/>
      <c r="J194" s="268"/>
      <c r="K194" s="2"/>
    </row>
    <row r="195" spans="1:11" s="271" customFormat="1" ht="13.15" customHeight="1" x14ac:dyDescent="0.35">
      <c r="A195" s="2"/>
      <c r="B195" s="2"/>
      <c r="C195" s="2"/>
      <c r="D195" s="2"/>
      <c r="E195" s="2"/>
      <c r="F195" s="2"/>
      <c r="G195" s="2"/>
      <c r="H195" s="2"/>
      <c r="I195" s="268"/>
      <c r="J195" s="268"/>
      <c r="K195" s="2"/>
    </row>
    <row r="196" spans="1:11" s="271" customFormat="1" ht="13.15" customHeight="1" x14ac:dyDescent="0.35">
      <c r="A196" s="2"/>
      <c r="B196" s="2"/>
      <c r="C196" s="2"/>
      <c r="D196" s="2"/>
      <c r="E196" s="2"/>
      <c r="F196" s="2"/>
      <c r="G196" s="2"/>
      <c r="H196" s="2"/>
      <c r="I196" s="268"/>
      <c r="J196" s="268"/>
      <c r="K196" s="2"/>
    </row>
    <row r="197" spans="1:11" s="271" customFormat="1" ht="13.15" customHeight="1" x14ac:dyDescent="0.35">
      <c r="A197" s="2"/>
      <c r="B197" s="2"/>
      <c r="C197" s="2"/>
      <c r="D197" s="2"/>
      <c r="E197" s="2"/>
      <c r="F197" s="2"/>
      <c r="G197" s="2"/>
      <c r="H197" s="2"/>
      <c r="I197" s="268"/>
      <c r="J197" s="268"/>
      <c r="K197" s="2"/>
    </row>
    <row r="198" spans="1:11" s="271" customFormat="1" ht="13.15" customHeight="1" x14ac:dyDescent="0.35">
      <c r="A198" s="2"/>
      <c r="B198" s="2"/>
      <c r="C198" s="2"/>
      <c r="D198" s="2"/>
      <c r="E198" s="2"/>
      <c r="F198" s="2"/>
      <c r="G198" s="2"/>
      <c r="H198" s="2"/>
      <c r="I198" s="268"/>
      <c r="J198" s="268"/>
      <c r="K198" s="2"/>
    </row>
    <row r="199" spans="1:11" s="271" customFormat="1" ht="13.15" customHeight="1" x14ac:dyDescent="0.35">
      <c r="A199" s="2"/>
      <c r="B199" s="2"/>
      <c r="C199" s="2"/>
      <c r="D199" s="2"/>
      <c r="E199" s="2"/>
      <c r="F199" s="2"/>
      <c r="G199" s="2"/>
      <c r="H199" s="2"/>
      <c r="I199" s="268"/>
      <c r="J199" s="268"/>
      <c r="K199" s="2"/>
    </row>
    <row r="200" spans="1:11" s="271" customFormat="1" ht="13.15" customHeight="1" x14ac:dyDescent="0.35">
      <c r="A200" s="2"/>
      <c r="B200" s="2"/>
      <c r="C200" s="2"/>
      <c r="D200" s="2"/>
      <c r="E200" s="2"/>
      <c r="F200" s="2"/>
      <c r="G200" s="2"/>
      <c r="H200" s="2"/>
      <c r="I200" s="268"/>
      <c r="J200" s="268"/>
      <c r="K200" s="2"/>
    </row>
    <row r="201" spans="1:11" s="271" customFormat="1" ht="13.15" customHeight="1" x14ac:dyDescent="0.35">
      <c r="A201" s="2"/>
      <c r="B201" s="2"/>
      <c r="C201" s="2"/>
      <c r="D201" s="2"/>
      <c r="E201" s="2"/>
      <c r="F201" s="2"/>
      <c r="G201" s="2"/>
      <c r="H201" s="2"/>
      <c r="I201" s="268"/>
      <c r="J201" s="268"/>
      <c r="K201" s="2"/>
    </row>
    <row r="202" spans="1:11" s="271" customFormat="1" ht="13.15" customHeight="1" x14ac:dyDescent="0.35">
      <c r="A202" s="2"/>
      <c r="B202" s="2"/>
      <c r="C202" s="2"/>
      <c r="D202" s="2"/>
      <c r="E202" s="2"/>
      <c r="F202" s="2"/>
      <c r="G202" s="2"/>
      <c r="H202" s="2"/>
      <c r="I202" s="268"/>
      <c r="J202" s="268"/>
      <c r="K202" s="2"/>
    </row>
    <row r="203" spans="1:11" s="271" customFormat="1" ht="13.15" customHeight="1" x14ac:dyDescent="0.35">
      <c r="A203" s="2"/>
      <c r="B203" s="2"/>
      <c r="C203" s="2"/>
      <c r="D203" s="2"/>
      <c r="E203" s="2"/>
      <c r="F203" s="2"/>
      <c r="G203" s="2"/>
      <c r="H203" s="2"/>
      <c r="I203" s="268"/>
      <c r="J203" s="268"/>
      <c r="K203" s="2"/>
    </row>
    <row r="204" spans="1:11" s="271" customFormat="1" ht="13.15" customHeight="1" x14ac:dyDescent="0.35">
      <c r="A204" s="2"/>
      <c r="B204" s="2"/>
      <c r="C204" s="2"/>
      <c r="D204" s="2"/>
      <c r="E204" s="2"/>
      <c r="F204" s="2"/>
      <c r="G204" s="2"/>
      <c r="H204" s="2"/>
      <c r="I204" s="268"/>
      <c r="J204" s="268"/>
      <c r="K204" s="2"/>
    </row>
    <row r="205" spans="1:11" s="271" customFormat="1" ht="13.15" customHeight="1" x14ac:dyDescent="0.35">
      <c r="A205" s="2"/>
      <c r="B205" s="2"/>
      <c r="C205" s="2"/>
      <c r="D205" s="2"/>
      <c r="E205" s="2"/>
      <c r="F205" s="2"/>
      <c r="G205" s="2"/>
      <c r="H205" s="2"/>
      <c r="I205" s="268"/>
      <c r="J205" s="268"/>
      <c r="K205" s="2"/>
    </row>
    <row r="206" spans="1:11" s="271" customFormat="1" ht="13.15" customHeight="1" x14ac:dyDescent="0.35">
      <c r="A206" s="2"/>
      <c r="B206" s="2"/>
      <c r="C206" s="2"/>
      <c r="D206" s="2"/>
      <c r="E206" s="2"/>
      <c r="F206" s="2"/>
      <c r="G206" s="2"/>
      <c r="H206" s="2"/>
      <c r="I206" s="268"/>
      <c r="J206" s="268"/>
      <c r="K206" s="2"/>
    </row>
    <row r="207" spans="1:11" s="271" customFormat="1" ht="13.15" customHeight="1" x14ac:dyDescent="0.35">
      <c r="A207" s="2"/>
      <c r="B207" s="2"/>
      <c r="C207" s="2"/>
      <c r="D207" s="2"/>
      <c r="E207" s="2"/>
      <c r="F207" s="2"/>
      <c r="G207" s="2"/>
      <c r="H207" s="2"/>
      <c r="I207" s="268"/>
      <c r="J207" s="268"/>
      <c r="K207" s="2"/>
    </row>
    <row r="208" spans="1:11" s="271" customFormat="1" ht="13.15" customHeight="1" x14ac:dyDescent="0.35">
      <c r="A208" s="2"/>
      <c r="B208" s="2"/>
      <c r="C208" s="2"/>
      <c r="D208" s="2"/>
      <c r="E208" s="2"/>
      <c r="F208" s="2"/>
      <c r="G208" s="2"/>
      <c r="H208" s="2"/>
      <c r="I208" s="268"/>
      <c r="J208" s="268"/>
      <c r="K208" s="2"/>
    </row>
    <row r="209" spans="1:11" s="271" customFormat="1" ht="13.15" customHeight="1" x14ac:dyDescent="0.35">
      <c r="A209" s="2"/>
      <c r="B209" s="2"/>
      <c r="C209" s="2"/>
      <c r="D209" s="2"/>
      <c r="E209" s="2"/>
      <c r="F209" s="2"/>
      <c r="G209" s="2"/>
      <c r="H209" s="2"/>
      <c r="I209" s="268"/>
      <c r="J209" s="268"/>
      <c r="K209" s="2"/>
    </row>
    <row r="210" spans="1:11" s="271" customFormat="1" ht="13.15" customHeight="1" x14ac:dyDescent="0.35">
      <c r="A210" s="2"/>
      <c r="B210" s="2"/>
      <c r="C210" s="2"/>
      <c r="D210" s="2"/>
      <c r="E210" s="2"/>
      <c r="F210" s="2"/>
      <c r="G210" s="2"/>
      <c r="H210" s="2"/>
      <c r="I210" s="268"/>
      <c r="J210" s="268"/>
      <c r="K210" s="2"/>
    </row>
    <row r="211" spans="1:11" s="271" customFormat="1" ht="13.15" customHeight="1" x14ac:dyDescent="0.35">
      <c r="A211" s="2"/>
      <c r="B211" s="2"/>
      <c r="C211" s="2"/>
      <c r="D211" s="2"/>
      <c r="E211" s="2"/>
      <c r="F211" s="2"/>
      <c r="G211" s="2"/>
      <c r="H211" s="2"/>
      <c r="I211" s="268"/>
      <c r="J211" s="268"/>
      <c r="K211" s="2"/>
    </row>
    <row r="212" spans="1:11" s="271" customFormat="1" ht="13.15" customHeight="1" x14ac:dyDescent="0.35">
      <c r="A212" s="2"/>
      <c r="B212" s="2"/>
      <c r="C212" s="2"/>
      <c r="D212" s="2"/>
      <c r="E212" s="2"/>
      <c r="F212" s="2"/>
      <c r="G212" s="2"/>
      <c r="H212" s="2"/>
      <c r="I212" s="268"/>
      <c r="J212" s="268"/>
      <c r="K212" s="2"/>
    </row>
    <row r="213" spans="1:11" s="271" customFormat="1" ht="13.15" customHeight="1" x14ac:dyDescent="0.35">
      <c r="A213" s="2"/>
      <c r="B213" s="2"/>
      <c r="C213" s="2"/>
      <c r="D213" s="2"/>
      <c r="E213" s="2"/>
      <c r="F213" s="2"/>
      <c r="G213" s="2"/>
      <c r="H213" s="2"/>
      <c r="I213" s="268"/>
      <c r="J213" s="268"/>
      <c r="K213" s="2"/>
    </row>
    <row r="214" spans="1:11" s="271" customFormat="1" ht="13.15" customHeight="1" x14ac:dyDescent="0.35">
      <c r="A214" s="2"/>
      <c r="B214" s="2"/>
      <c r="C214" s="2"/>
      <c r="D214" s="2"/>
      <c r="E214" s="2"/>
      <c r="F214" s="2"/>
      <c r="G214" s="2"/>
      <c r="H214" s="2"/>
      <c r="I214" s="268"/>
      <c r="J214" s="268"/>
      <c r="K214" s="2"/>
    </row>
    <row r="215" spans="1:11" s="271" customFormat="1" ht="13.15" customHeight="1" x14ac:dyDescent="0.35">
      <c r="A215" s="2"/>
      <c r="B215" s="2"/>
      <c r="C215" s="2"/>
      <c r="D215" s="2"/>
      <c r="E215" s="2"/>
      <c r="F215" s="2"/>
      <c r="G215" s="2"/>
      <c r="H215" s="2"/>
      <c r="I215" s="268"/>
      <c r="J215" s="268"/>
      <c r="K215" s="2"/>
    </row>
    <row r="216" spans="1:11" s="271" customFormat="1" ht="13.15" customHeight="1" x14ac:dyDescent="0.35">
      <c r="A216" s="2"/>
      <c r="B216" s="2"/>
      <c r="C216" s="2"/>
      <c r="D216" s="2"/>
      <c r="E216" s="2"/>
      <c r="F216" s="2"/>
      <c r="G216" s="2"/>
      <c r="H216" s="2"/>
      <c r="I216" s="268"/>
      <c r="J216" s="268"/>
      <c r="K216" s="2"/>
    </row>
    <row r="217" spans="1:11" s="271" customFormat="1" ht="13.15" customHeight="1" x14ac:dyDescent="0.35">
      <c r="A217" s="2"/>
      <c r="B217" s="2"/>
      <c r="C217" s="2"/>
      <c r="D217" s="2"/>
      <c r="E217" s="2"/>
      <c r="F217" s="2"/>
      <c r="G217" s="2"/>
      <c r="H217" s="2"/>
      <c r="I217" s="268"/>
      <c r="J217" s="268"/>
      <c r="K217" s="2"/>
    </row>
  </sheetData>
  <mergeCells count="45">
    <mergeCell ref="A7:A8"/>
    <mergeCell ref="A16:A17"/>
    <mergeCell ref="C16:C17"/>
    <mergeCell ref="D16:D17"/>
    <mergeCell ref="E16:E17"/>
    <mergeCell ref="E76:E77"/>
    <mergeCell ref="F76:F77"/>
    <mergeCell ref="G76:G77"/>
    <mergeCell ref="C40:C41"/>
    <mergeCell ref="D40:D41"/>
    <mergeCell ref="E40:E41"/>
    <mergeCell ref="F40:F41"/>
    <mergeCell ref="G40:G41"/>
    <mergeCell ref="D99:D100"/>
    <mergeCell ref="E99:E100"/>
    <mergeCell ref="F99:F100"/>
    <mergeCell ref="G99:G100"/>
    <mergeCell ref="J3:J5"/>
    <mergeCell ref="G33:G34"/>
    <mergeCell ref="C6:G6"/>
    <mergeCell ref="F16:F17"/>
    <mergeCell ref="G16:G17"/>
    <mergeCell ref="C7:C8"/>
    <mergeCell ref="D7:D8"/>
    <mergeCell ref="E7:E8"/>
    <mergeCell ref="F7:F8"/>
    <mergeCell ref="G7:G8"/>
    <mergeCell ref="C76:C77"/>
    <mergeCell ref="D76:D77"/>
    <mergeCell ref="A1:H1"/>
    <mergeCell ref="A99:A100"/>
    <mergeCell ref="A23:A24"/>
    <mergeCell ref="A76:A77"/>
    <mergeCell ref="C23:C24"/>
    <mergeCell ref="G23:G24"/>
    <mergeCell ref="F23:F24"/>
    <mergeCell ref="D23:D24"/>
    <mergeCell ref="E23:E24"/>
    <mergeCell ref="C33:C34"/>
    <mergeCell ref="D33:D34"/>
    <mergeCell ref="A40:A41"/>
    <mergeCell ref="A33:A34"/>
    <mergeCell ref="E33:E34"/>
    <mergeCell ref="F33:F34"/>
    <mergeCell ref="C99:C10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2" orientation="landscape" r:id="rId1"/>
  <headerFooter>
    <oddHeader>&amp;L&amp;F&amp;R&amp;A</oddHeader>
    <oddFooter>&amp;L&amp;D&amp;C&amp;P/&amp;N&amp;R&amp;T</oddFooter>
  </headerFooter>
  <rowBreaks count="2" manualBreakCount="2">
    <brk id="39" max="16383" man="1"/>
    <brk id="73" max="16383" man="1"/>
  </rowBreaks>
  <ignoredErrors>
    <ignoredError sqref="B31:B34 B15:B16 B111:E111 B21 B38 G111:H11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 tint="0.59999389629810485"/>
    <pageSetUpPr fitToPage="1"/>
  </sheetPr>
  <dimension ref="A1:L62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outlineLevelRow="1" x14ac:dyDescent="0.3"/>
  <cols>
    <col min="1" max="1" width="40.453125" style="2" customWidth="1"/>
    <col min="2" max="2" width="11.453125" style="17" customWidth="1"/>
    <col min="3" max="8" width="12.453125" style="28" bestFit="1" customWidth="1"/>
    <col min="9" max="9" width="9.81640625" style="28" bestFit="1" customWidth="1"/>
    <col min="10" max="10" width="10.81640625" style="28" bestFit="1" customWidth="1"/>
    <col min="11" max="11" width="3.54296875" style="2" customWidth="1"/>
    <col min="12" max="12" width="27.453125" style="2" bestFit="1" customWidth="1"/>
    <col min="13" max="16384" width="11.26953125" style="2"/>
  </cols>
  <sheetData>
    <row r="1" spans="1:12" ht="30" customHeight="1" x14ac:dyDescent="0.35">
      <c r="A1" s="680" t="s">
        <v>518</v>
      </c>
      <c r="B1" s="681"/>
      <c r="C1" s="681"/>
      <c r="D1" s="681"/>
      <c r="E1" s="681"/>
      <c r="F1" s="681"/>
      <c r="G1" s="681"/>
      <c r="H1" s="681"/>
      <c r="I1" s="681"/>
      <c r="J1" s="682"/>
      <c r="L1"/>
    </row>
    <row r="2" spans="1:12" ht="14.5" x14ac:dyDescent="0.35">
      <c r="L2"/>
    </row>
    <row r="3" spans="1:12" ht="27.65" customHeight="1" x14ac:dyDescent="0.3">
      <c r="A3" s="668" t="s">
        <v>375</v>
      </c>
      <c r="B3" s="678" t="s">
        <v>0</v>
      </c>
      <c r="C3" s="3">
        <v>2024</v>
      </c>
      <c r="D3" s="3">
        <f>C3+1</f>
        <v>2025</v>
      </c>
      <c r="E3" s="3">
        <f t="shared" ref="E3" si="0">D3+1</f>
        <v>2026</v>
      </c>
      <c r="F3" s="3">
        <f t="shared" ref="F3" si="1">E3+1</f>
        <v>2027</v>
      </c>
      <c r="G3" s="3">
        <f t="shared" ref="G3" si="2">F3+1</f>
        <v>2028</v>
      </c>
      <c r="H3" s="120">
        <f>G3+1</f>
        <v>2029</v>
      </c>
      <c r="I3" s="179" t="s">
        <v>271</v>
      </c>
      <c r="J3" s="4" t="s">
        <v>62</v>
      </c>
      <c r="L3" s="683" t="s">
        <v>338</v>
      </c>
    </row>
    <row r="4" spans="1:12" x14ac:dyDescent="0.3">
      <c r="A4" s="669"/>
      <c r="B4" s="679"/>
      <c r="C4" s="77">
        <v>12</v>
      </c>
      <c r="D4" s="77">
        <v>12</v>
      </c>
      <c r="E4" s="77">
        <v>12</v>
      </c>
      <c r="F4" s="77">
        <v>12</v>
      </c>
      <c r="G4" s="77">
        <v>12</v>
      </c>
      <c r="H4" s="181">
        <v>12</v>
      </c>
      <c r="I4" s="78">
        <f t="shared" ref="I4:I8" si="3">IFERROR(AVERAGE(C4:H4),0)</f>
        <v>12</v>
      </c>
      <c r="J4" s="78">
        <f t="shared" ref="J4:J8" si="4">SUM(C4:H4)</f>
        <v>72</v>
      </c>
      <c r="L4" s="684"/>
    </row>
    <row r="5" spans="1:12" x14ac:dyDescent="0.3">
      <c r="A5" s="302" t="s">
        <v>356</v>
      </c>
      <c r="B5" s="8"/>
      <c r="C5" s="9">
        <f>'3.Recettes'!C7</f>
        <v>13187795.08777234</v>
      </c>
      <c r="D5" s="9">
        <f>'3.Recettes'!D7</f>
        <v>13893189.664871149</v>
      </c>
      <c r="E5" s="9">
        <f>'3.Recettes'!E7</f>
        <v>14235866.309847273</v>
      </c>
      <c r="F5" s="9">
        <f>'3.Recettes'!F7</f>
        <v>14580968.201039163</v>
      </c>
      <c r="G5" s="9">
        <f>'3.Recettes'!G7</f>
        <v>14849270.269404853</v>
      </c>
      <c r="H5" s="329">
        <f>'3.Recettes'!H7</f>
        <v>15101117.574240524</v>
      </c>
      <c r="I5" s="10">
        <f t="shared" si="3"/>
        <v>14308034.517862551</v>
      </c>
      <c r="J5" s="10">
        <f t="shared" si="4"/>
        <v>85848207.107175305</v>
      </c>
      <c r="K5" s="11"/>
      <c r="L5" s="186"/>
    </row>
    <row r="6" spans="1:12" x14ac:dyDescent="0.3">
      <c r="A6" s="36" t="s">
        <v>332</v>
      </c>
      <c r="B6" s="12"/>
      <c r="C6" s="13">
        <f>'3.Recettes'!C12</f>
        <v>69109.71591469807</v>
      </c>
      <c r="D6" s="13">
        <f>'3.Recettes'!D12</f>
        <v>72806.286759680908</v>
      </c>
      <c r="E6" s="13">
        <f>'3.Recettes'!E12</f>
        <v>74602.05970180525</v>
      </c>
      <c r="F6" s="13">
        <f>'3.Recettes'!F12</f>
        <v>76410.541976754306</v>
      </c>
      <c r="G6" s="13">
        <f>'3.Recettes'!G12</f>
        <v>77816.56016255937</v>
      </c>
      <c r="H6" s="157">
        <f>'3.Recettes'!H12</f>
        <v>79136.348313287745</v>
      </c>
      <c r="I6" s="14">
        <f t="shared" si="3"/>
        <v>74980.252138130949</v>
      </c>
      <c r="J6" s="14">
        <f t="shared" si="4"/>
        <v>449881.51282878569</v>
      </c>
      <c r="K6" s="11"/>
      <c r="L6" s="187"/>
    </row>
    <row r="7" spans="1:12" x14ac:dyDescent="0.3">
      <c r="A7" s="36" t="s">
        <v>463</v>
      </c>
      <c r="B7" s="12"/>
      <c r="C7" s="13">
        <f>'3.Recettes'!C13</f>
        <v>17277.428978674518</v>
      </c>
      <c r="D7" s="13">
        <f>'3.Recettes'!D13</f>
        <v>18201.571689920227</v>
      </c>
      <c r="E7" s="13">
        <f>'3.Recettes'!E13</f>
        <v>18650.514925451313</v>
      </c>
      <c r="F7" s="13">
        <f>'3.Recettes'!F13</f>
        <v>19102.635494188577</v>
      </c>
      <c r="G7" s="13">
        <f>'3.Recettes'!G13</f>
        <v>19454.140040639842</v>
      </c>
      <c r="H7" s="157">
        <f>'3.Recettes'!H13</f>
        <v>19784.087078321936</v>
      </c>
      <c r="I7" s="14">
        <f t="shared" si="3"/>
        <v>18745.063034532737</v>
      </c>
      <c r="J7" s="14">
        <f t="shared" si="4"/>
        <v>112470.37820719642</v>
      </c>
      <c r="K7" s="11"/>
      <c r="L7" s="187"/>
    </row>
    <row r="8" spans="1:12" x14ac:dyDescent="0.3">
      <c r="A8" s="36" t="s">
        <v>360</v>
      </c>
      <c r="B8" s="12"/>
      <c r="C8" s="13">
        <f>'3.Recettes'!C14</f>
        <v>16147.750930068876</v>
      </c>
      <c r="D8" s="13">
        <f>'3.Recettes'!D14</f>
        <v>17011.468925579291</v>
      </c>
      <c r="E8" s="13">
        <f>'3.Recettes'!E14</f>
        <v>17431.05818032565</v>
      </c>
      <c r="F8" s="13">
        <f>'3.Recettes'!F14</f>
        <v>17853.617019568555</v>
      </c>
      <c r="G8" s="13">
        <f>'3.Recettes'!G14</f>
        <v>18182.138576444162</v>
      </c>
      <c r="H8" s="157">
        <f>'3.Recettes'!H14</f>
        <v>18490.512153970118</v>
      </c>
      <c r="I8" s="14">
        <f t="shared" si="3"/>
        <v>17519.424297659443</v>
      </c>
      <c r="J8" s="14">
        <f t="shared" si="4"/>
        <v>105116.54578595667</v>
      </c>
      <c r="K8" s="11"/>
      <c r="L8" s="187"/>
    </row>
    <row r="9" spans="1:12" x14ac:dyDescent="0.3">
      <c r="A9" s="617" t="s">
        <v>532</v>
      </c>
      <c r="B9" s="618"/>
      <c r="C9" s="619">
        <f>'3.Recettes'!C15</f>
        <v>2393841.4089250886</v>
      </c>
      <c r="D9" s="619">
        <f>'3.Recettes'!D15</f>
        <v>2428701.6518040416</v>
      </c>
      <c r="E9" s="619">
        <f>'3.Recettes'!E15</f>
        <v>2445949.4763339763</v>
      </c>
      <c r="F9" s="619">
        <f>'3.Recettes'!F15</f>
        <v>2465995.356349173</v>
      </c>
      <c r="G9" s="619">
        <f>'3.Recettes'!G15</f>
        <v>2473046.2587325047</v>
      </c>
      <c r="H9" s="620">
        <f>'3.Recettes'!H15</f>
        <v>2476494.9852180141</v>
      </c>
      <c r="I9" s="621">
        <f t="shared" ref="I9" si="5">IFERROR(AVERAGE(C9:H9),0)</f>
        <v>2447338.1895604669</v>
      </c>
      <c r="J9" s="621">
        <f t="shared" ref="J9" si="6">SUM(C9:H9)</f>
        <v>14684029.137362801</v>
      </c>
      <c r="K9" s="11"/>
      <c r="L9" s="187"/>
    </row>
    <row r="10" spans="1:12" s="5" customFormat="1" x14ac:dyDescent="0.3">
      <c r="A10" s="96" t="s">
        <v>372</v>
      </c>
      <c r="B10" s="57" t="s">
        <v>336</v>
      </c>
      <c r="C10" s="19">
        <f>SUM(C5:C9)</f>
        <v>15684171.392520869</v>
      </c>
      <c r="D10" s="19">
        <f t="shared" ref="D10:H10" si="7">SUM(D5:D9)</f>
        <v>16429910.644050369</v>
      </c>
      <c r="E10" s="19">
        <f t="shared" si="7"/>
        <v>16792499.418988831</v>
      </c>
      <c r="F10" s="19">
        <f t="shared" si="7"/>
        <v>17160330.351878848</v>
      </c>
      <c r="G10" s="19">
        <f t="shared" si="7"/>
        <v>17437769.366916999</v>
      </c>
      <c r="H10" s="35">
        <f t="shared" si="7"/>
        <v>17695023.507004116</v>
      </c>
      <c r="I10" s="20">
        <f>IFERROR(AVERAGE(C10:H10),0)</f>
        <v>16866617.446893338</v>
      </c>
      <c r="J10" s="20">
        <f>SUM(C10:H10)</f>
        <v>101199704.68136004</v>
      </c>
      <c r="K10" s="6"/>
      <c r="L10" s="188"/>
    </row>
    <row r="11" spans="1:12" x14ac:dyDescent="0.3">
      <c r="C11" s="13"/>
      <c r="D11" s="13"/>
      <c r="E11" s="13"/>
      <c r="F11" s="13"/>
      <c r="G11" s="13"/>
      <c r="H11" s="13"/>
      <c r="I11" s="13"/>
      <c r="J11" s="13"/>
    </row>
    <row r="12" spans="1:12" ht="27.65" customHeight="1" x14ac:dyDescent="0.3">
      <c r="A12" s="668" t="s">
        <v>201</v>
      </c>
      <c r="B12" s="678" t="s">
        <v>0</v>
      </c>
      <c r="C12" s="3">
        <f>Annee</f>
        <v>2024</v>
      </c>
      <c r="D12" s="3">
        <f>C12+1</f>
        <v>2025</v>
      </c>
      <c r="E12" s="3">
        <f t="shared" ref="E12" si="8">D12+1</f>
        <v>2026</v>
      </c>
      <c r="F12" s="3">
        <f t="shared" ref="F12" si="9">E12+1</f>
        <v>2027</v>
      </c>
      <c r="G12" s="3">
        <f t="shared" ref="G12" si="10">F12+1</f>
        <v>2028</v>
      </c>
      <c r="H12" s="120">
        <f>G12+1</f>
        <v>2029</v>
      </c>
      <c r="I12" s="179" t="s">
        <v>271</v>
      </c>
      <c r="J12" s="4" t="s">
        <v>62</v>
      </c>
      <c r="L12" s="683" t="s">
        <v>338</v>
      </c>
    </row>
    <row r="13" spans="1:12" x14ac:dyDescent="0.3">
      <c r="A13" s="669"/>
      <c r="B13" s="679"/>
      <c r="C13" s="77">
        <v>12</v>
      </c>
      <c r="D13" s="77">
        <v>12</v>
      </c>
      <c r="E13" s="77">
        <v>12</v>
      </c>
      <c r="F13" s="77">
        <v>12</v>
      </c>
      <c r="G13" s="77">
        <v>12</v>
      </c>
      <c r="H13" s="181">
        <v>12</v>
      </c>
      <c r="I13" s="78">
        <f>IFERROR(AVERAGE(C13:H13),0)</f>
        <v>12</v>
      </c>
      <c r="J13" s="78">
        <f t="shared" ref="J13:J17" si="11">SUM(C13:H13)</f>
        <v>72</v>
      </c>
      <c r="L13" s="684"/>
    </row>
    <row r="14" spans="1:12" x14ac:dyDescent="0.3">
      <c r="A14" s="302" t="s">
        <v>66</v>
      </c>
      <c r="B14" s="8"/>
      <c r="C14" s="9">
        <f>'3.Recettes'!C96</f>
        <v>5265297.113835779</v>
      </c>
      <c r="D14" s="9">
        <f>'3.Recettes'!D96</f>
        <v>5536360.3445616579</v>
      </c>
      <c r="E14" s="9">
        <f>'3.Recettes'!E96</f>
        <v>5662784.2022868032</v>
      </c>
      <c r="F14" s="9">
        <f>'3.Recettes'!F96</f>
        <v>5767757.874517139</v>
      </c>
      <c r="G14" s="9">
        <f>'3.Recettes'!G96</f>
        <v>5844708.9831945701</v>
      </c>
      <c r="H14" s="329">
        <f>'3.Recettes'!H96</f>
        <v>5910238.2433930635</v>
      </c>
      <c r="I14" s="10">
        <f>IFERROR(AVERAGE(C14:H14),0)</f>
        <v>5664524.4602981685</v>
      </c>
      <c r="J14" s="10">
        <f t="shared" si="11"/>
        <v>33987146.761789009</v>
      </c>
      <c r="K14" s="11"/>
      <c r="L14" s="186"/>
    </row>
    <row r="15" spans="1:12" x14ac:dyDescent="0.3">
      <c r="A15" s="36" t="s">
        <v>334</v>
      </c>
      <c r="B15" s="12"/>
      <c r="C15" s="13">
        <f>'3.Recettes'!C101</f>
        <v>95000</v>
      </c>
      <c r="D15" s="13">
        <f>'3.Recettes'!D101</f>
        <v>95000</v>
      </c>
      <c r="E15" s="13">
        <f>'3.Recettes'!E101</f>
        <v>95000</v>
      </c>
      <c r="F15" s="13">
        <f>'3.Recettes'!F101</f>
        <v>95000</v>
      </c>
      <c r="G15" s="13">
        <f>'3.Recettes'!G101</f>
        <v>95000</v>
      </c>
      <c r="H15" s="157">
        <f>'3.Recettes'!H101</f>
        <v>95000</v>
      </c>
      <c r="I15" s="14">
        <f>IFERROR(AVERAGE(C15:H15),0)</f>
        <v>95000</v>
      </c>
      <c r="J15" s="14">
        <f t="shared" si="11"/>
        <v>570000</v>
      </c>
      <c r="K15" s="11"/>
      <c r="L15" s="187"/>
    </row>
    <row r="16" spans="1:12" x14ac:dyDescent="0.3">
      <c r="A16" s="59" t="s">
        <v>67</v>
      </c>
      <c r="B16" s="15"/>
      <c r="C16" s="106">
        <f>'3.Recettes'!C110</f>
        <v>226000.8</v>
      </c>
      <c r="D16" s="106">
        <f>'3.Recettes'!D110</f>
        <v>228568.40000000002</v>
      </c>
      <c r="E16" s="106">
        <f>'3.Recettes'!E110</f>
        <v>230567.6</v>
      </c>
      <c r="F16" s="106">
        <f>'3.Recettes'!F110</f>
        <v>236194.8</v>
      </c>
      <c r="G16" s="106">
        <f>'3.Recettes'!G110</f>
        <v>236292.8</v>
      </c>
      <c r="H16" s="183">
        <f>'3.Recettes'!H110</f>
        <v>236332</v>
      </c>
      <c r="I16" s="16">
        <f>IFERROR(AVERAGE(C16:H16),0)</f>
        <v>232326.06666666668</v>
      </c>
      <c r="J16" s="16">
        <f t="shared" si="11"/>
        <v>1393956.4000000001</v>
      </c>
      <c r="K16" s="11"/>
      <c r="L16" s="187"/>
    </row>
    <row r="17" spans="1:12" s="5" customFormat="1" x14ac:dyDescent="0.3">
      <c r="A17" s="96" t="s">
        <v>207</v>
      </c>
      <c r="B17" s="57" t="s">
        <v>336</v>
      </c>
      <c r="C17" s="19">
        <f>SUM(C14:C16)</f>
        <v>5586297.9138357788</v>
      </c>
      <c r="D17" s="19">
        <f t="shared" ref="D17:H17" si="12">SUM(D14:D16)</f>
        <v>5859928.7445616582</v>
      </c>
      <c r="E17" s="19">
        <f t="shared" si="12"/>
        <v>5988351.8022868028</v>
      </c>
      <c r="F17" s="19">
        <f t="shared" si="12"/>
        <v>6098952.6745171389</v>
      </c>
      <c r="G17" s="19">
        <f t="shared" si="12"/>
        <v>6176001.7831945699</v>
      </c>
      <c r="H17" s="35">
        <f t="shared" si="12"/>
        <v>6241570.2433930635</v>
      </c>
      <c r="I17" s="20">
        <f>IFERROR(AVERAGE(C17:H17),0)</f>
        <v>5991850.5269648358</v>
      </c>
      <c r="J17" s="20">
        <f t="shared" si="11"/>
        <v>35951103.161789015</v>
      </c>
      <c r="K17" s="6"/>
      <c r="L17" s="188"/>
    </row>
    <row r="18" spans="1:12" ht="14.5" x14ac:dyDescent="0.35">
      <c r="C18" s="13"/>
      <c r="D18" s="13"/>
      <c r="E18" s="13"/>
      <c r="F18" s="13"/>
      <c r="G18" s="13"/>
      <c r="H18" s="13"/>
      <c r="I18" s="13"/>
      <c r="J18" s="13"/>
      <c r="L18"/>
    </row>
    <row r="19" spans="1:12" ht="27.65" customHeight="1" x14ac:dyDescent="0.3">
      <c r="A19" s="668" t="s">
        <v>198</v>
      </c>
      <c r="B19" s="678" t="s">
        <v>0</v>
      </c>
      <c r="C19" s="3">
        <f>Annee</f>
        <v>2024</v>
      </c>
      <c r="D19" s="3">
        <f>C19+1</f>
        <v>2025</v>
      </c>
      <c r="E19" s="3">
        <f t="shared" ref="E19:G19" si="13">D19+1</f>
        <v>2026</v>
      </c>
      <c r="F19" s="3">
        <f t="shared" si="13"/>
        <v>2027</v>
      </c>
      <c r="G19" s="3">
        <f t="shared" si="13"/>
        <v>2028</v>
      </c>
      <c r="H19" s="120">
        <f>G19+1</f>
        <v>2029</v>
      </c>
      <c r="I19" s="179" t="s">
        <v>271</v>
      </c>
      <c r="J19" s="4" t="s">
        <v>62</v>
      </c>
      <c r="L19" s="685" t="s">
        <v>338</v>
      </c>
    </row>
    <row r="20" spans="1:12" x14ac:dyDescent="0.3">
      <c r="A20" s="669"/>
      <c r="B20" s="679"/>
      <c r="C20" s="77">
        <v>12</v>
      </c>
      <c r="D20" s="77">
        <v>12</v>
      </c>
      <c r="E20" s="77">
        <v>12</v>
      </c>
      <c r="F20" s="77">
        <v>12</v>
      </c>
      <c r="G20" s="77">
        <v>12</v>
      </c>
      <c r="H20" s="181">
        <v>12</v>
      </c>
      <c r="I20" s="78">
        <f t="shared" ref="I20:I35" si="14">IFERROR(AVERAGE(C20:H20),0)</f>
        <v>12</v>
      </c>
      <c r="J20" s="78">
        <f t="shared" ref="J20:J38" si="15">SUM(C20:H20)</f>
        <v>72</v>
      </c>
      <c r="L20" s="685"/>
    </row>
    <row r="21" spans="1:12" s="5" customFormat="1" x14ac:dyDescent="0.3">
      <c r="A21" s="303" t="s">
        <v>197</v>
      </c>
      <c r="B21" s="150" t="s">
        <v>168</v>
      </c>
      <c r="C21" s="110">
        <f>SUM(C22:C24)</f>
        <v>27871794.485546499</v>
      </c>
      <c r="D21" s="110">
        <f t="shared" ref="D21:H21" si="16">SUM(D22:D24)</f>
        <v>28018296.201932739</v>
      </c>
      <c r="E21" s="110">
        <f t="shared" si="16"/>
        <v>27982245.086758044</v>
      </c>
      <c r="F21" s="110">
        <f t="shared" si="16"/>
        <v>28355775.957296789</v>
      </c>
      <c r="G21" s="110">
        <f t="shared" si="16"/>
        <v>28221440.472910151</v>
      </c>
      <c r="H21" s="184">
        <f t="shared" si="16"/>
        <v>28893519.158994012</v>
      </c>
      <c r="I21" s="24">
        <f t="shared" si="14"/>
        <v>28223845.227239709</v>
      </c>
      <c r="J21" s="24">
        <f t="shared" si="15"/>
        <v>169343071.36343825</v>
      </c>
      <c r="K21" s="613"/>
      <c r="L21" s="187"/>
    </row>
    <row r="22" spans="1:12" x14ac:dyDescent="0.3">
      <c r="A22" s="36" t="s">
        <v>1</v>
      </c>
      <c r="B22" s="554">
        <f>I21/($I$38-5600000)</f>
        <v>0.37405666271919447</v>
      </c>
      <c r="C22" s="608">
        <f>'4.Charges variables'!C34</f>
        <v>8605248.6866981592</v>
      </c>
      <c r="D22" s="608">
        <f>'4.Charges variables'!D34</f>
        <v>8624059.7421849966</v>
      </c>
      <c r="E22" s="608">
        <f>'4.Charges variables'!E34</f>
        <v>8526101.8598002382</v>
      </c>
      <c r="F22" s="608">
        <f>'4.Charges variables'!F34</f>
        <v>8743618.7306777705</v>
      </c>
      <c r="G22" s="608">
        <f>'4.Charges variables'!G34</f>
        <v>8482084.9942738451</v>
      </c>
      <c r="H22" s="609">
        <f>'4.Charges variables'!H34</f>
        <v>9032169.7204296757</v>
      </c>
      <c r="I22" s="14">
        <f t="shared" si="14"/>
        <v>8668880.6223441139</v>
      </c>
      <c r="J22" s="14">
        <f t="shared" si="15"/>
        <v>52013283.734064683</v>
      </c>
      <c r="L22" s="186" t="s">
        <v>320</v>
      </c>
    </row>
    <row r="23" spans="1:12" x14ac:dyDescent="0.3">
      <c r="A23" s="36" t="s">
        <v>392</v>
      </c>
      <c r="B23" s="12"/>
      <c r="C23" s="608">
        <f>'4.Charges variables'!C40</f>
        <v>19014650.828848343</v>
      </c>
      <c r="D23" s="608">
        <f>'4.Charges variables'!D40</f>
        <v>19143713.989747744</v>
      </c>
      <c r="E23" s="608">
        <f>'4.Charges variables'!E40</f>
        <v>19205958.256957807</v>
      </c>
      <c r="F23" s="608">
        <f>'4.Charges variables'!F40</f>
        <v>19361572.256619021</v>
      </c>
      <c r="G23" s="608">
        <f>'4.Charges variables'!G40</f>
        <v>19485391.508636307</v>
      </c>
      <c r="H23" s="609">
        <f>'4.Charges variables'!H40</f>
        <v>19608460.468564339</v>
      </c>
      <c r="I23" s="14">
        <f t="shared" si="14"/>
        <v>19303291.218228925</v>
      </c>
      <c r="J23" s="14">
        <f t="shared" si="15"/>
        <v>115819747.30937356</v>
      </c>
      <c r="L23" s="187" t="s">
        <v>309</v>
      </c>
    </row>
    <row r="24" spans="1:12" x14ac:dyDescent="0.3">
      <c r="A24" s="36" t="s">
        <v>2</v>
      </c>
      <c r="B24" s="12"/>
      <c r="C24" s="608">
        <f>'4.Charges variables'!C46</f>
        <v>251894.97</v>
      </c>
      <c r="D24" s="608">
        <f>'4.Charges variables'!D46</f>
        <v>250522.47</v>
      </c>
      <c r="E24" s="608">
        <f>'4.Charges variables'!E46</f>
        <v>250184.97</v>
      </c>
      <c r="F24" s="608">
        <f>'4.Charges variables'!F46</f>
        <v>250584.97</v>
      </c>
      <c r="G24" s="608">
        <f>'4.Charges variables'!G46</f>
        <v>253963.97</v>
      </c>
      <c r="H24" s="609">
        <f>'4.Charges variables'!H46</f>
        <v>252888.97</v>
      </c>
      <c r="I24" s="14">
        <f t="shared" si="14"/>
        <v>251673.38666666669</v>
      </c>
      <c r="J24" s="14">
        <f t="shared" si="15"/>
        <v>1510040.32</v>
      </c>
      <c r="L24" s="187" t="s">
        <v>310</v>
      </c>
    </row>
    <row r="25" spans="1:12" s="5" customFormat="1" x14ac:dyDescent="0.3">
      <c r="A25" s="303" t="s">
        <v>199</v>
      </c>
      <c r="B25" s="150" t="s">
        <v>86</v>
      </c>
      <c r="C25" s="23">
        <f t="shared" ref="C25:H25" si="17">SUM(C26:C34)</f>
        <v>20330265.318667926</v>
      </c>
      <c r="D25" s="23">
        <f t="shared" si="17"/>
        <v>20424285.831922811</v>
      </c>
      <c r="E25" s="23">
        <f t="shared" si="17"/>
        <v>20610786.690151781</v>
      </c>
      <c r="F25" s="23">
        <f t="shared" si="17"/>
        <v>20500528.339667711</v>
      </c>
      <c r="G25" s="23">
        <f t="shared" si="17"/>
        <v>20657930.865453564</v>
      </c>
      <c r="H25" s="178">
        <f t="shared" si="17"/>
        <v>20537286.718695771</v>
      </c>
      <c r="I25" s="24">
        <f t="shared" si="14"/>
        <v>20510180.627426591</v>
      </c>
      <c r="J25" s="24">
        <f t="shared" si="15"/>
        <v>123061083.76455955</v>
      </c>
      <c r="K25" s="613"/>
      <c r="L25" s="188"/>
    </row>
    <row r="26" spans="1:12" x14ac:dyDescent="0.3">
      <c r="A26" s="36" t="s">
        <v>3</v>
      </c>
      <c r="B26" s="555">
        <f>(I25-5600000)/($I$38-5600000)</f>
        <v>0.19760781570091646</v>
      </c>
      <c r="C26" s="608">
        <f>'5.Charges fixes'!C5</f>
        <v>1879401.2303314297</v>
      </c>
      <c r="D26" s="608">
        <f>'5.Charges fixes'!D5</f>
        <v>1823877.8703314299</v>
      </c>
      <c r="E26" s="608">
        <f>'5.Charges fixes'!E5</f>
        <v>1893127.8703314299</v>
      </c>
      <c r="F26" s="608">
        <f>'5.Charges fixes'!F5</f>
        <v>1795627.8703314299</v>
      </c>
      <c r="G26" s="608">
        <f>'5.Charges fixes'!G5</f>
        <v>1858127.8703314299</v>
      </c>
      <c r="H26" s="609">
        <f>'5.Charges fixes'!H5</f>
        <v>1796627.8703314299</v>
      </c>
      <c r="I26" s="14">
        <f t="shared" si="14"/>
        <v>1841131.7636647634</v>
      </c>
      <c r="J26" s="14">
        <f t="shared" si="15"/>
        <v>11046790.581988581</v>
      </c>
      <c r="L26" s="187" t="s">
        <v>318</v>
      </c>
    </row>
    <row r="27" spans="1:12" x14ac:dyDescent="0.3">
      <c r="A27" s="36" t="s">
        <v>290</v>
      </c>
      <c r="B27" s="12"/>
      <c r="C27" s="13">
        <f>'5.Charges fixes'!C24</f>
        <v>771468.80000000005</v>
      </c>
      <c r="D27" s="13">
        <f>'5.Charges fixes'!D24</f>
        <v>771468.80000000005</v>
      </c>
      <c r="E27" s="13">
        <f>'5.Charges fixes'!E24</f>
        <v>771468.80000000005</v>
      </c>
      <c r="F27" s="13">
        <f>'5.Charges fixes'!F24</f>
        <v>771468.80000000005</v>
      </c>
      <c r="G27" s="13">
        <f>'5.Charges fixes'!G24</f>
        <v>771468.80000000005</v>
      </c>
      <c r="H27" s="157">
        <f>'5.Charges fixes'!H24</f>
        <v>771468.80000000005</v>
      </c>
      <c r="I27" s="14">
        <f t="shared" si="14"/>
        <v>771468.79999999993</v>
      </c>
      <c r="J27" s="14">
        <f t="shared" si="15"/>
        <v>4628812.8</v>
      </c>
      <c r="L27" s="187" t="s">
        <v>318</v>
      </c>
    </row>
    <row r="28" spans="1:12" x14ac:dyDescent="0.3">
      <c r="A28" s="36" t="s">
        <v>166</v>
      </c>
      <c r="B28" s="12"/>
      <c r="C28" s="608">
        <f>'5.Charges fixes'!C34</f>
        <v>9491504.8550319094</v>
      </c>
      <c r="D28" s="608">
        <f>'5.Charges fixes'!D34</f>
        <v>9543520.9835110344</v>
      </c>
      <c r="E28" s="608">
        <f>'5.Charges fixes'!E34</f>
        <v>9595777.02949032</v>
      </c>
      <c r="F28" s="608">
        <f>'5.Charges fixes'!F34</f>
        <v>9554582.2997433338</v>
      </c>
      <c r="G28" s="608">
        <f>'5.Charges fixes'!G34</f>
        <v>9627248.1502504628</v>
      </c>
      <c r="H28" s="609">
        <f>'5.Charges fixes'!H34</f>
        <v>9652307.2861275189</v>
      </c>
      <c r="I28" s="14">
        <f t="shared" si="14"/>
        <v>9577490.1006924305</v>
      </c>
      <c r="J28" s="14">
        <f t="shared" si="15"/>
        <v>57464940.604154587</v>
      </c>
      <c r="L28" s="187" t="s">
        <v>319</v>
      </c>
    </row>
    <row r="29" spans="1:12" x14ac:dyDescent="0.3">
      <c r="A29" s="36" t="s">
        <v>4</v>
      </c>
      <c r="B29" s="12"/>
      <c r="C29" s="608">
        <f>'5.Charges fixes'!C40</f>
        <v>1796153.5506625704</v>
      </c>
      <c r="D29" s="608">
        <f>'5.Charges fixes'!D40</f>
        <v>1808197.0645635275</v>
      </c>
      <c r="E29" s="608">
        <f>'5.Charges fixes'!E40</f>
        <v>1820223.1453124876</v>
      </c>
      <c r="F29" s="608">
        <f>'5.Charges fixes'!F40</f>
        <v>1830397.4340331517</v>
      </c>
      <c r="G29" s="608">
        <f>'5.Charges fixes'!G40</f>
        <v>1841808.6720409989</v>
      </c>
      <c r="H29" s="609">
        <f>'5.Charges fixes'!H40</f>
        <v>1861976.3155379363</v>
      </c>
      <c r="I29" s="14">
        <f t="shared" si="14"/>
        <v>1826459.3636917789</v>
      </c>
      <c r="J29" s="14">
        <f t="shared" si="15"/>
        <v>10958756.182150673</v>
      </c>
      <c r="L29" s="187" t="s">
        <v>319</v>
      </c>
    </row>
    <row r="30" spans="1:12" x14ac:dyDescent="0.3">
      <c r="A30" s="36" t="s">
        <v>5</v>
      </c>
      <c r="B30" s="12"/>
      <c r="C30" s="608">
        <f>'5.Charges fixes'!C43</f>
        <v>659084.35692597879</v>
      </c>
      <c r="D30" s="608">
        <f>'5.Charges fixes'!D43</f>
        <v>662776.44389805535</v>
      </c>
      <c r="E30" s="608">
        <f>'5.Charges fixes'!E43</f>
        <v>666494.58648208377</v>
      </c>
      <c r="F30" s="608">
        <f>'5.Charges fixes'!F43</f>
        <v>669480.05379209516</v>
      </c>
      <c r="G30" s="608">
        <f>'5.Charges fixes'!G43</f>
        <v>673064.33147777279</v>
      </c>
      <c r="H30" s="609">
        <f>'5.Charges fixes'!H43</f>
        <v>678885.94022805593</v>
      </c>
      <c r="I30" s="14">
        <f t="shared" si="14"/>
        <v>668297.61880067363</v>
      </c>
      <c r="J30" s="14">
        <f t="shared" si="15"/>
        <v>4009785.7128040418</v>
      </c>
      <c r="L30" s="187" t="s">
        <v>318</v>
      </c>
    </row>
    <row r="31" spans="1:12" ht="12.25" customHeight="1" x14ac:dyDescent="0.3">
      <c r="A31" s="36" t="s">
        <v>176</v>
      </c>
      <c r="B31" s="12"/>
      <c r="C31" s="608">
        <f>'5.Charges fixes'!C49</f>
        <v>184883.04444444444</v>
      </c>
      <c r="D31" s="608">
        <f>'5.Charges fixes'!D49</f>
        <v>248353.44444444444</v>
      </c>
      <c r="E31" s="608">
        <f>'5.Charges fixes'!E49</f>
        <v>294613.44444444444</v>
      </c>
      <c r="F31" s="608">
        <f>'5.Charges fixes'!F49</f>
        <v>332913.44444444444</v>
      </c>
      <c r="G31" s="608">
        <f>'5.Charges fixes'!G49</f>
        <v>353913.44444444444</v>
      </c>
      <c r="H31" s="609">
        <f>'5.Charges fixes'!H49</f>
        <v>205013.84444444446</v>
      </c>
      <c r="I31" s="14">
        <f t="shared" si="14"/>
        <v>269948.44444444444</v>
      </c>
      <c r="J31" s="14">
        <f t="shared" si="15"/>
        <v>1619690.6666666667</v>
      </c>
      <c r="L31" s="187" t="s">
        <v>317</v>
      </c>
    </row>
    <row r="32" spans="1:12" ht="12.25" customHeight="1" x14ac:dyDescent="0.3">
      <c r="A32" s="36" t="s">
        <v>182</v>
      </c>
      <c r="B32" s="12"/>
      <c r="C32" s="608">
        <f>'5.Charges fixes'!C75</f>
        <v>370000</v>
      </c>
      <c r="D32" s="608">
        <f>'5.Charges fixes'!D75</f>
        <v>370000</v>
      </c>
      <c r="E32" s="608">
        <f>'5.Charges fixes'!E75</f>
        <v>370000</v>
      </c>
      <c r="F32" s="608">
        <f>'5.Charges fixes'!F75</f>
        <v>370000</v>
      </c>
      <c r="G32" s="608">
        <f>'5.Charges fixes'!G75</f>
        <v>370000</v>
      </c>
      <c r="H32" s="609">
        <f>'5.Charges fixes'!H75</f>
        <v>370000</v>
      </c>
      <c r="I32" s="14">
        <f t="shared" si="14"/>
        <v>370000</v>
      </c>
      <c r="J32" s="14">
        <f t="shared" si="15"/>
        <v>2220000</v>
      </c>
      <c r="L32" s="187"/>
    </row>
    <row r="33" spans="1:12" x14ac:dyDescent="0.3">
      <c r="A33" s="36" t="s">
        <v>6</v>
      </c>
      <c r="B33" s="12"/>
      <c r="C33" s="608">
        <f>'5.Charges fixes'!C86</f>
        <v>3439916.2217284665</v>
      </c>
      <c r="D33" s="608">
        <f>'5.Charges fixes'!D86</f>
        <v>3449776.4741604072</v>
      </c>
      <c r="E33" s="608">
        <f>'5.Charges fixes'!E86</f>
        <v>3444249.7693655244</v>
      </c>
      <c r="F33" s="608">
        <f>'5.Charges fixes'!F86</f>
        <v>3414386.0743218274</v>
      </c>
      <c r="G33" s="608">
        <f>'5.Charges fixes'!G86</f>
        <v>3392444.521931496</v>
      </c>
      <c r="H33" s="609">
        <f>'5.Charges fixes'!H86</f>
        <v>3417819.7939422275</v>
      </c>
      <c r="I33" s="14">
        <f t="shared" si="14"/>
        <v>3426432.1425749916</v>
      </c>
      <c r="J33" s="14">
        <f t="shared" si="15"/>
        <v>20558592.855449948</v>
      </c>
      <c r="L33" s="187" t="s">
        <v>316</v>
      </c>
    </row>
    <row r="34" spans="1:12" x14ac:dyDescent="0.3">
      <c r="A34" s="36" t="s">
        <v>196</v>
      </c>
      <c r="B34" s="12"/>
      <c r="C34" s="608">
        <f>'5.Charges fixes'!C111</f>
        <v>1737853.2595431292</v>
      </c>
      <c r="D34" s="608">
        <f>'5.Charges fixes'!D111</f>
        <v>1746314.7510139134</v>
      </c>
      <c r="E34" s="608">
        <f>'5.Charges fixes'!E111</f>
        <v>1754832.0447254928</v>
      </c>
      <c r="F34" s="608">
        <f>'5.Charges fixes'!F111</f>
        <v>1761672.363001429</v>
      </c>
      <c r="G34" s="608">
        <f>'5.Charges fixes'!G111</f>
        <v>1769855.0749769586</v>
      </c>
      <c r="H34" s="609">
        <f>'5.Charges fixes'!H111</f>
        <v>1783186.8680841578</v>
      </c>
      <c r="I34" s="14">
        <f>IFERROR(AVERAGE(C34:H34),0)</f>
        <v>1758952.3935575131</v>
      </c>
      <c r="J34" s="14">
        <f t="shared" si="15"/>
        <v>10553714.361345079</v>
      </c>
      <c r="L34" s="187"/>
    </row>
    <row r="35" spans="1:12" s="5" customFormat="1" x14ac:dyDescent="0.3">
      <c r="A35" s="303" t="s">
        <v>200</v>
      </c>
      <c r="B35" s="150" t="s">
        <v>87</v>
      </c>
      <c r="C35" s="23">
        <f>SUM(C36:C37)</f>
        <v>31685939.82364222</v>
      </c>
      <c r="D35" s="23">
        <f t="shared" ref="D35:H35" si="18">SUM(D36:D37)</f>
        <v>31911083.884171225</v>
      </c>
      <c r="E35" s="23">
        <f t="shared" si="18"/>
        <v>32230365.878816627</v>
      </c>
      <c r="F35" s="23">
        <f t="shared" si="18"/>
        <v>32344069.587213431</v>
      </c>
      <c r="G35" s="23">
        <f t="shared" si="18"/>
        <v>32779805.19528617</v>
      </c>
      <c r="H35" s="178">
        <f t="shared" si="18"/>
        <v>32964952.150321636</v>
      </c>
      <c r="I35" s="24">
        <f t="shared" si="14"/>
        <v>32319369.41990855</v>
      </c>
      <c r="J35" s="24">
        <f t="shared" si="15"/>
        <v>193916216.51945129</v>
      </c>
      <c r="K35" s="613"/>
      <c r="L35" s="188" t="s">
        <v>321</v>
      </c>
    </row>
    <row r="36" spans="1:12" x14ac:dyDescent="0.3">
      <c r="A36" s="36" t="s">
        <v>391</v>
      </c>
      <c r="B36" s="553">
        <f>I35/($I$38-5600000)</f>
        <v>0.42833552157988891</v>
      </c>
      <c r="C36" s="608">
        <f>'6. SousTraitance'!C22</f>
        <v>21541497.909002699</v>
      </c>
      <c r="D36" s="608">
        <f>'6. SousTraitance'!D22</f>
        <v>21541497.909002699</v>
      </c>
      <c r="E36" s="608">
        <f>'6. SousTraitance'!E22</f>
        <v>21541497.909002699</v>
      </c>
      <c r="F36" s="608">
        <f>'6. SousTraitance'!F22</f>
        <v>21541497.909002699</v>
      </c>
      <c r="G36" s="608">
        <f>'6. SousTraitance'!G22</f>
        <v>21541497.909002699</v>
      </c>
      <c r="H36" s="609">
        <f>'6. SousTraitance'!H22</f>
        <v>21541497.909002699</v>
      </c>
      <c r="I36" s="14">
        <f t="shared" ref="I36:I37" si="19">IFERROR(AVERAGE(C36:H36),0)</f>
        <v>21541497.909002695</v>
      </c>
      <c r="J36" s="14">
        <f t="shared" ref="J36:J37" si="20">SUM(C36:H36)</f>
        <v>129248987.45401618</v>
      </c>
      <c r="L36" s="186"/>
    </row>
    <row r="37" spans="1:12" x14ac:dyDescent="0.3">
      <c r="A37" s="36" t="s">
        <v>393</v>
      </c>
      <c r="B37" s="12"/>
      <c r="C37" s="608">
        <f>'6. SousTraitance'!C29</f>
        <v>10144441.914639521</v>
      </c>
      <c r="D37" s="608">
        <f>'6. SousTraitance'!D29</f>
        <v>10369585.975168526</v>
      </c>
      <c r="E37" s="608">
        <f>'6. SousTraitance'!E29</f>
        <v>10688867.969813926</v>
      </c>
      <c r="F37" s="608">
        <f>'6. SousTraitance'!F29</f>
        <v>10802571.678210732</v>
      </c>
      <c r="G37" s="608">
        <f>'6. SousTraitance'!G29</f>
        <v>11238307.286283471</v>
      </c>
      <c r="H37" s="609">
        <f>'6. SousTraitance'!H29</f>
        <v>11423454.241318937</v>
      </c>
      <c r="I37" s="14">
        <f t="shared" si="19"/>
        <v>10777871.510905853</v>
      </c>
      <c r="J37" s="14">
        <f t="shared" si="20"/>
        <v>64667229.065435112</v>
      </c>
      <c r="L37" s="187"/>
    </row>
    <row r="38" spans="1:12" s="5" customFormat="1" x14ac:dyDescent="0.3">
      <c r="A38" s="96" t="s">
        <v>208</v>
      </c>
      <c r="B38" s="57"/>
      <c r="C38" s="19">
        <f>C21+C25+C35</f>
        <v>79887999.627856642</v>
      </c>
      <c r="D38" s="19">
        <f t="shared" ref="D38:H38" si="21">D21+D25+D35</f>
        <v>80353665.918026775</v>
      </c>
      <c r="E38" s="19">
        <f t="shared" si="21"/>
        <v>80823397.655726463</v>
      </c>
      <c r="F38" s="19">
        <f t="shared" si="21"/>
        <v>81200373.884177923</v>
      </c>
      <c r="G38" s="19">
        <f t="shared" si="21"/>
        <v>81659176.533649892</v>
      </c>
      <c r="H38" s="35">
        <f t="shared" si="21"/>
        <v>82395758.028011411</v>
      </c>
      <c r="I38" s="20">
        <f>IFERROR(AVERAGE(C38:H38),0)</f>
        <v>81053395.274574861</v>
      </c>
      <c r="J38" s="35">
        <f t="shared" si="15"/>
        <v>486320371.64744914</v>
      </c>
      <c r="K38" s="6"/>
      <c r="L38" s="188"/>
    </row>
    <row r="39" spans="1:12" x14ac:dyDescent="0.3">
      <c r="B39" s="11"/>
      <c r="C39" s="11"/>
      <c r="D39" s="11"/>
      <c r="E39" s="11"/>
      <c r="F39" s="11"/>
      <c r="G39" s="11"/>
      <c r="H39" s="11"/>
      <c r="I39" s="11"/>
      <c r="J39" s="616"/>
      <c r="L39" s="11"/>
    </row>
    <row r="40" spans="1:12" x14ac:dyDescent="0.3">
      <c r="A40" s="304" t="s">
        <v>202</v>
      </c>
      <c r="B40" s="112"/>
      <c r="C40" s="575">
        <f>IFERROR(C34/C38,"-")</f>
        <v>2.1753620914763103E-2</v>
      </c>
      <c r="D40" s="575">
        <f t="shared" ref="D40:H40" si="22">IFERROR(D34/D38,"-")</f>
        <v>2.1732857251284911E-2</v>
      </c>
      <c r="E40" s="575">
        <f t="shared" si="22"/>
        <v>2.1711931144002831E-2</v>
      </c>
      <c r="F40" s="575">
        <f t="shared" si="22"/>
        <v>2.1695372554740106E-2</v>
      </c>
      <c r="G40" s="575">
        <f t="shared" si="22"/>
        <v>2.1673682617257859E-2</v>
      </c>
      <c r="H40" s="576">
        <f t="shared" si="22"/>
        <v>2.1641731452703455E-2</v>
      </c>
      <c r="I40" s="577">
        <f>IFERROR(I34/I38,"-")</f>
        <v>2.1701156226693788E-2</v>
      </c>
      <c r="J40" s="577">
        <f>IFERROR(J34/J38,"-")</f>
        <v>2.1701156226693791E-2</v>
      </c>
      <c r="K40" s="11"/>
    </row>
    <row r="41" spans="1:12" x14ac:dyDescent="0.3">
      <c r="C41" s="13"/>
      <c r="D41" s="13"/>
      <c r="E41" s="13"/>
      <c r="F41" s="13"/>
      <c r="G41" s="566"/>
      <c r="H41" s="13"/>
      <c r="I41" s="564"/>
      <c r="J41" s="566"/>
      <c r="L41" s="579"/>
    </row>
    <row r="42" spans="1:12" ht="27.65" customHeight="1" outlineLevel="1" x14ac:dyDescent="0.3">
      <c r="A42" s="668" t="s">
        <v>394</v>
      </c>
      <c r="B42" s="678" t="s">
        <v>0</v>
      </c>
      <c r="C42" s="3">
        <v>2024</v>
      </c>
      <c r="D42" s="3">
        <f>C42+1</f>
        <v>2025</v>
      </c>
      <c r="E42" s="3">
        <f t="shared" ref="E42" si="23">D42+1</f>
        <v>2026</v>
      </c>
      <c r="F42" s="3">
        <f t="shared" ref="F42" si="24">E42+1</f>
        <v>2027</v>
      </c>
      <c r="G42" s="3">
        <f t="shared" ref="G42" si="25">F42+1</f>
        <v>2028</v>
      </c>
      <c r="H42" s="120">
        <f>G42+1</f>
        <v>2029</v>
      </c>
      <c r="I42" s="179" t="s">
        <v>271</v>
      </c>
      <c r="J42" s="4" t="s">
        <v>62</v>
      </c>
      <c r="L42" s="579"/>
    </row>
    <row r="43" spans="1:12" outlineLevel="1" x14ac:dyDescent="0.3">
      <c r="A43" s="669"/>
      <c r="B43" s="679"/>
      <c r="C43" s="77">
        <v>12</v>
      </c>
      <c r="D43" s="77">
        <v>12</v>
      </c>
      <c r="E43" s="77">
        <v>12</v>
      </c>
      <c r="F43" s="77">
        <v>12</v>
      </c>
      <c r="G43" s="77">
        <v>12</v>
      </c>
      <c r="H43" s="181">
        <v>12</v>
      </c>
      <c r="I43" s="78">
        <f>IFERROR(AVERAGE(C43:H43),0)</f>
        <v>12</v>
      </c>
      <c r="J43" s="78">
        <f>SUM(C43:H43)</f>
        <v>72</v>
      </c>
      <c r="L43" s="11"/>
    </row>
    <row r="44" spans="1:12" outlineLevel="1" x14ac:dyDescent="0.3">
      <c r="A44" s="302" t="s">
        <v>395</v>
      </c>
      <c r="B44" s="8"/>
      <c r="C44" s="467">
        <f t="shared" ref="C44:H44" si="26">IFERROR(C14/(C38-C34),"-")</f>
        <v>6.7374117113242274E-2</v>
      </c>
      <c r="D44" s="467">
        <f t="shared" si="26"/>
        <v>7.0430567400736444E-2</v>
      </c>
      <c r="E44" s="467">
        <f t="shared" si="26"/>
        <v>7.1618653487991554E-2</v>
      </c>
      <c r="F44" s="467">
        <f t="shared" si="26"/>
        <v>7.2606396681592161E-2</v>
      </c>
      <c r="G44" s="467">
        <f t="shared" si="26"/>
        <v>7.316007792378186E-2</v>
      </c>
      <c r="H44" s="468">
        <f t="shared" si="26"/>
        <v>7.3316582740770589E-2</v>
      </c>
      <c r="I44" s="469">
        <f>IFERROR(AVERAGE(C44:H44),0)</f>
        <v>7.1417732558019142E-2</v>
      </c>
      <c r="J44" s="469">
        <f>SUM(C44:H44)</f>
        <v>0.42850639534811485</v>
      </c>
      <c r="K44" s="11"/>
      <c r="L44" s="579"/>
    </row>
    <row r="45" spans="1:12" outlineLevel="1" x14ac:dyDescent="0.3">
      <c r="A45" s="36" t="s">
        <v>396</v>
      </c>
      <c r="B45" s="12"/>
      <c r="C45" s="470">
        <f t="shared" ref="C45:H45" si="27">IFERROR(C14/C10,"-")</f>
        <v>0.33570770058956262</v>
      </c>
      <c r="D45" s="470">
        <f t="shared" si="27"/>
        <v>0.33696837825265319</v>
      </c>
      <c r="E45" s="470">
        <f t="shared" si="27"/>
        <v>0.33722104500318573</v>
      </c>
      <c r="F45" s="470">
        <f t="shared" si="27"/>
        <v>0.33610995570872793</v>
      </c>
      <c r="G45" s="470">
        <f t="shared" si="27"/>
        <v>0.3351752658389423</v>
      </c>
      <c r="H45" s="399">
        <f t="shared" si="27"/>
        <v>0.33400567346257831</v>
      </c>
      <c r="I45" s="471">
        <f>IFERROR(AVERAGE(C45:H45),0)</f>
        <v>0.33586466980927504</v>
      </c>
      <c r="J45" s="471">
        <f>SUM(C45:H45)</f>
        <v>2.0151880188556501</v>
      </c>
      <c r="K45" s="11"/>
      <c r="L45" s="579"/>
    </row>
    <row r="46" spans="1:12" outlineLevel="1" x14ac:dyDescent="0.3">
      <c r="A46" s="36" t="s">
        <v>398</v>
      </c>
      <c r="B46" s="12"/>
      <c r="C46" s="470">
        <f t="shared" ref="C46:H46" si="28">IFERROR((C38-C34)/C10,"-")</f>
        <v>4.9827398854860814</v>
      </c>
      <c r="D46" s="470">
        <f t="shared" si="28"/>
        <v>4.7844052758423432</v>
      </c>
      <c r="E46" s="470">
        <f t="shared" si="28"/>
        <v>4.7085644392871515</v>
      </c>
      <c r="F46" s="470">
        <f t="shared" si="28"/>
        <v>4.6292058423268587</v>
      </c>
      <c r="G46" s="470">
        <f t="shared" si="28"/>
        <v>4.5813956921714567</v>
      </c>
      <c r="H46" s="399">
        <f t="shared" si="28"/>
        <v>4.555663411694189</v>
      </c>
      <c r="I46" s="471">
        <f>IFERROR(AVERAGE(C46:H46),0)</f>
        <v>4.706995757801347</v>
      </c>
      <c r="J46" s="471">
        <f>SUM(C46:H46)</f>
        <v>28.241974546808081</v>
      </c>
      <c r="K46" s="11"/>
    </row>
    <row r="47" spans="1:12" outlineLevel="1" x14ac:dyDescent="0.3">
      <c r="A47" s="36" t="s">
        <v>478</v>
      </c>
      <c r="B47" s="12"/>
      <c r="C47" s="470">
        <f>IFERROR(C$14/('4.Charges variables'!C$8+'6. SousTraitance'!C$7+'6. SousTraitance'!C$9+'6. SousTraitance'!C$11+'6. SousTraitance'!C$13+'6. SousTraitance'!C$15),"-")</f>
        <v>0.33782111295655964</v>
      </c>
      <c r="D47" s="470">
        <f>IFERROR(D$14/('4.Charges variables'!D$8+'6. SousTraitance'!D$7+'6. SousTraitance'!D$9+'6. SousTraitance'!D$11+'6. SousTraitance'!D$13+'6. SousTraitance'!D$15),"-")</f>
        <v>0.35521251182839036</v>
      </c>
      <c r="E47" s="470">
        <f>IFERROR(E$14/('4.Charges variables'!E$8+'6. SousTraitance'!E$7+'6. SousTraitance'!E$9+'6. SousTraitance'!E$11+'6. SousTraitance'!E$13+'6. SousTraitance'!E$15),"-")</f>
        <v>0.36332385813945467</v>
      </c>
      <c r="F47" s="470">
        <f>IFERROR(F$14/('4.Charges variables'!F$8+'6. SousTraitance'!F$7+'6. SousTraitance'!F$9+'6. SousTraitance'!F$11+'6. SousTraitance'!F$13+'6. SousTraitance'!F$15),"-")</f>
        <v>0.37005896197448884</v>
      </c>
      <c r="G47" s="470">
        <f>IFERROR(G$14/('4.Charges variables'!G$8+'6. SousTraitance'!G$7+'6. SousTraitance'!G$9+'6. SousTraitance'!G$11+'6. SousTraitance'!G$13+'6. SousTraitance'!G$15),"-")</f>
        <v>0.37499613999400488</v>
      </c>
      <c r="H47" s="399">
        <f>IFERROR(H$14/('4.Charges variables'!H$8+'6. SousTraitance'!H$7+'6. SousTraitance'!H$9+'6. SousTraitance'!H$11+'6. SousTraitance'!H$13+'6. SousTraitance'!H$15),"-")</f>
        <v>0.3792004929740681</v>
      </c>
      <c r="I47" s="471">
        <f t="shared" ref="I47:I51" si="29">IFERROR(AVERAGE(C47:H47),0)</f>
        <v>0.36343551297782772</v>
      </c>
      <c r="J47" s="471">
        <f t="shared" ref="J47:J51" si="30">SUM(C47:H47)</f>
        <v>2.1806130778669663</v>
      </c>
      <c r="K47" s="11"/>
    </row>
    <row r="48" spans="1:12" outlineLevel="1" x14ac:dyDescent="0.3">
      <c r="A48" s="36" t="s">
        <v>479</v>
      </c>
      <c r="B48" s="12"/>
      <c r="C48" s="470">
        <f>IFERROR(C$14/('4.Charges variables'!C$5+'6. SousTraitance'!C$7+'6. SousTraitance'!C$9+'6. SousTraitance'!C$11+'6. SousTraitance'!C$13+'6. SousTraitance'!C$15),"-")</f>
        <v>0.38113804293033643</v>
      </c>
      <c r="D48" s="470">
        <f>IFERROR(D$14/('4.Charges variables'!D$5+'6. SousTraitance'!D$7+'6. SousTraitance'!D$9+'6. SousTraitance'!D$11+'6. SousTraitance'!D$13+'6. SousTraitance'!D$15),"-")</f>
        <v>0.40075944454084739</v>
      </c>
      <c r="E48" s="470">
        <f>IFERROR(E$14/('4.Charges variables'!E$5+'6. SousTraitance'!E$7+'6. SousTraitance'!E$9+'6. SousTraitance'!E$11+'6. SousTraitance'!E$13+'6. SousTraitance'!E$15),"-")</f>
        <v>0.40991086385704267</v>
      </c>
      <c r="F48" s="470">
        <f>IFERROR(F$14/('4.Charges variables'!F$5+'6. SousTraitance'!F$7+'6. SousTraitance'!F$9+'6. SousTraitance'!F$11+'6. SousTraitance'!F$13+'6. SousTraitance'!F$15),"-")</f>
        <v>0.41750957274812261</v>
      </c>
      <c r="G48" s="470">
        <f>IFERROR(G$14/('4.Charges variables'!G$5+'6. SousTraitance'!G$7+'6. SousTraitance'!G$9+'6. SousTraitance'!G$11+'6. SousTraitance'!G$13+'6. SousTraitance'!G$15),"-")</f>
        <v>0.42307981775586723</v>
      </c>
      <c r="H48" s="399">
        <f>IFERROR(H$14/('4.Charges variables'!H$5+'6. SousTraitance'!H$7+'6. SousTraitance'!H$9+'6. SousTraitance'!H$11+'6. SousTraitance'!H$13+'6. SousTraitance'!H$15),"-")</f>
        <v>0.42782327162879225</v>
      </c>
      <c r="I48" s="471">
        <f>IFERROR(AVERAGE(C48:H48),0)</f>
        <v>0.41003683557683485</v>
      </c>
      <c r="J48" s="471">
        <f>SUM(C48:H48)</f>
        <v>2.460221013461009</v>
      </c>
      <c r="K48" s="11"/>
    </row>
    <row r="49" spans="1:11" outlineLevel="1" x14ac:dyDescent="0.3">
      <c r="A49" s="36" t="s">
        <v>472</v>
      </c>
      <c r="B49" s="12"/>
      <c r="C49" s="470">
        <f>IFERROR(C$10/('4.Charges variables'!C$8+'6. SousTraitance'!C$7+'6. SousTraitance'!C$9+'6. SousTraitance'!C$11+'6. SousTraitance'!C$13+'6. SousTraitance'!C$15),"-")</f>
        <v>1.0062953943662463</v>
      </c>
      <c r="D49" s="470">
        <f>IFERROR(D$10/('4.Charges variables'!D$8+'6. SousTraitance'!D$7+'6. SousTraitance'!D$9+'6. SousTraitance'!D$11+'6. SousTraitance'!D$13+'6. SousTraitance'!D$15),"-")</f>
        <v>1.0541419751916841</v>
      </c>
      <c r="E49" s="470">
        <f>IFERROR(E$10/('4.Charges variables'!E$8+'6. SousTraitance'!E$7+'6. SousTraitance'!E$9+'6. SousTraitance'!E$11+'6. SousTraitance'!E$13+'6. SousTraitance'!E$15),"-")</f>
        <v>1.0774056468985271</v>
      </c>
      <c r="F49" s="470">
        <f>IFERROR(F$10/('4.Charges variables'!F$8+'6. SousTraitance'!F$7+'6. SousTraitance'!F$9+'6. SousTraitance'!F$11+'6. SousTraitance'!F$13+'6. SousTraitance'!F$15),"-")</f>
        <v>1.1010056551112133</v>
      </c>
      <c r="G49" s="470">
        <f>IFERROR(G$10/('4.Charges variables'!G$8+'6. SousTraitance'!G$7+'6. SousTraitance'!G$9+'6. SousTraitance'!G$11+'6. SousTraitance'!G$13+'6. SousTraitance'!G$15),"-")</f>
        <v>1.1188061238808629</v>
      </c>
      <c r="H49" s="399">
        <f>IFERROR(H$10/('4.Charges variables'!H$8+'6. SousTraitance'!H$7+'6. SousTraitance'!H$9+'6. SousTraitance'!H$11+'6. SousTraitance'!H$13+'6. SousTraitance'!H$15),"-")</f>
        <v>1.135311532414893</v>
      </c>
      <c r="I49" s="471">
        <f>IFERROR(AVERAGE(C49:H49),0)</f>
        <v>1.0821610546439044</v>
      </c>
      <c r="J49" s="471">
        <f>SUM(C49:H49)</f>
        <v>6.4929663278634271</v>
      </c>
      <c r="K49" s="11"/>
    </row>
    <row r="50" spans="1:11" outlineLevel="1" x14ac:dyDescent="0.3">
      <c r="A50" s="36" t="s">
        <v>477</v>
      </c>
      <c r="B50" s="12"/>
      <c r="C50" s="470">
        <f>IFERROR(C$10/('4.Charges variables'!C$5+'6. SousTraitance'!C$7+'6. SousTraitance'!C$9+'6. SousTraitance'!C$11+'6. SousTraitance'!C$13+'6. SousTraitance'!C$15),"-")</f>
        <v>1.1353270784703182</v>
      </c>
      <c r="D50" s="470">
        <f>IFERROR(D$10/('4.Charges variables'!D$5+'6. SousTraitance'!D$7+'6. SousTraitance'!D$9+'6. SousTraitance'!D$11+'6. SousTraitance'!D$13+'6. SousTraitance'!D$15),"-")</f>
        <v>1.1893087613116169</v>
      </c>
      <c r="E50" s="470">
        <f>IFERROR(E$10/('4.Charges variables'!E$5+'6. SousTraitance'!E$7+'6. SousTraitance'!E$9+'6. SousTraitance'!E$11+'6. SousTraitance'!E$13+'6. SousTraitance'!E$15),"-")</f>
        <v>1.2155554047736559</v>
      </c>
      <c r="F50" s="470">
        <f>IFERROR(F$10/('4.Charges variables'!F$5+'6. SousTraitance'!F$7+'6. SousTraitance'!F$9+'6. SousTraitance'!F$11+'6. SousTraitance'!F$13+'6. SousTraitance'!F$15),"-")</f>
        <v>1.2421815113085652</v>
      </c>
      <c r="G50" s="470">
        <f>IFERROR(G$10/('4.Charges variables'!G$5+'6. SousTraitance'!G$7+'6. SousTraitance'!G$9+'6. SousTraitance'!G$11+'6. SousTraitance'!G$13+'6. SousTraitance'!G$15),"-")</f>
        <v>1.2622644355838735</v>
      </c>
      <c r="H50" s="399">
        <f>IFERROR(H$10/('4.Charges variables'!H$5+'6. SousTraitance'!H$7+'6. SousTraitance'!H$9+'6. SousTraitance'!H$11+'6. SousTraitance'!H$13+'6. SousTraitance'!H$15),"-")</f>
        <v>1.2808862412234598</v>
      </c>
      <c r="I50" s="471">
        <f>IFERROR(AVERAGE(C50:H50),0)</f>
        <v>1.2209205721119147</v>
      </c>
      <c r="J50" s="471">
        <f>SUM(C50:H50)</f>
        <v>7.3255234326714884</v>
      </c>
      <c r="K50" s="11"/>
    </row>
    <row r="51" spans="1:11" outlineLevel="1" x14ac:dyDescent="0.3">
      <c r="A51" s="36" t="s">
        <v>471</v>
      </c>
      <c r="B51" s="12"/>
      <c r="C51" s="470">
        <f>IFERROR((C$38-C$34)/('4.Charges variables'!C$8+'6. SousTraitance'!C$7+'6. SousTraitance'!C$9+'6. SousTraitance'!C$11+'6. SousTraitance'!C$13+'6. SousTraitance'!C$15),"-")</f>
        <v>5.0141081980896409</v>
      </c>
      <c r="D51" s="470">
        <f>IFERROR((D$38-D$34)/('4.Charges variables'!D$8+'6. SousTraitance'!D$7+'6. SousTraitance'!D$9+'6. SousTraitance'!D$11+'6. SousTraitance'!D$13+'6. SousTraitance'!D$15),"-")</f>
        <v>5.0434424275939618</v>
      </c>
      <c r="E51" s="470">
        <f>IFERROR((E$38-E$34)/('4.Charges variables'!E$8+'6. SousTraitance'!E$7+'6. SousTraitance'!E$9+'6. SousTraitance'!E$11+'6. SousTraitance'!E$13+'6. SousTraitance'!E$15),"-")</f>
        <v>5.073033915673574</v>
      </c>
      <c r="F51" s="470">
        <f>IFERROR((F$38-F$34)/('4.Charges variables'!F$8+'6. SousTraitance'!F$7+'6. SousTraitance'!F$9+'6. SousTraitance'!F$11+'6. SousTraitance'!F$13+'6. SousTraitance'!F$15),"-")</f>
        <v>5.096781811075739</v>
      </c>
      <c r="G51" s="470">
        <f>IFERROR((G$38-G$34)/('4.Charges variables'!G$8+'6. SousTraitance'!G$7+'6. SousTraitance'!G$9+'6. SousTraitance'!G$11+'6. SousTraitance'!G$13+'6. SousTraitance'!G$15),"-")</f>
        <v>5.1256935563228305</v>
      </c>
      <c r="H51" s="399">
        <f>IFERROR((H$38-H$34)/('4.Charges variables'!H$8+'6. SousTraitance'!H$7+'6. SousTraitance'!H$9+'6. SousTraitance'!H$11+'6. SousTraitance'!H$13+'6. SousTraitance'!H$15),"-")</f>
        <v>5.1720972090969894</v>
      </c>
      <c r="I51" s="471">
        <f t="shared" si="29"/>
        <v>5.0875261863087893</v>
      </c>
      <c r="J51" s="471">
        <f t="shared" si="30"/>
        <v>30.525157117852736</v>
      </c>
      <c r="K51" s="11"/>
    </row>
    <row r="52" spans="1:11" outlineLevel="1" x14ac:dyDescent="0.3">
      <c r="A52" s="36" t="s">
        <v>432</v>
      </c>
      <c r="B52" s="12"/>
      <c r="C52" s="470">
        <f>IFERROR((C$38-C$34-C$35)/('4.Charges variables'!C$8),"-")</f>
        <v>5.1785549768608119</v>
      </c>
      <c r="D52" s="470">
        <f>IFERROR((D$38-D$34-D$35)/('4.Charges variables'!D$8),"-")</f>
        <v>5.2044187412496585</v>
      </c>
      <c r="E52" s="470">
        <f>IFERROR((E$38-E$34-E$35)/('4.Charges variables'!E$8),"-")</f>
        <v>5.2202374767146651</v>
      </c>
      <c r="F52" s="470">
        <f>IFERROR((F$38-F$34-F$35)/('4.Charges variables'!F$8),"-")</f>
        <v>5.2488175032232851</v>
      </c>
      <c r="G52" s="470">
        <f>IFERROR((G$38-G$34-G$35)/('4.Charges variables'!G$8),"-")</f>
        <v>5.2504763999084183</v>
      </c>
      <c r="H52" s="399">
        <f>IFERROR((H$38-H$34-H$35)/('4.Charges variables'!H$8),"-")</f>
        <v>5.3104493309389937</v>
      </c>
      <c r="I52" s="471">
        <f t="shared" ref="I52:I53" si="31">IFERROR(AVERAGE(C52:H52),0)</f>
        <v>5.2354924048159726</v>
      </c>
      <c r="J52" s="471">
        <f t="shared" ref="J52:J53" si="32">SUM(C52:H52)</f>
        <v>31.412954428895834</v>
      </c>
      <c r="K52" s="11"/>
    </row>
    <row r="53" spans="1:11" outlineLevel="1" x14ac:dyDescent="0.3">
      <c r="A53" s="36" t="s">
        <v>473</v>
      </c>
      <c r="B53" s="12"/>
      <c r="C53" s="470">
        <f>IFERROR((C$35)/('6. SousTraitance'!C$7+'6. SousTraitance'!C$9+'6. SousTraitance'!C$11+'6. SousTraitance'!C$13+'6. SousTraitance'!C$15),"-")</f>
        <v>4.7910101342390732</v>
      </c>
      <c r="D53" s="470">
        <f>IFERROR((D$35)/('6. SousTraitance'!D$7+'6. SousTraitance'!D$9+'6. SousTraitance'!D$11+'6. SousTraitance'!D$13+'6. SousTraitance'!D$15),"-")</f>
        <v>4.8250525985516948</v>
      </c>
      <c r="E53" s="470">
        <f>IFERROR((E$35)/('6. SousTraitance'!E$7+'6. SousTraitance'!E$9+'6. SousTraitance'!E$11+'6. SousTraitance'!E$13+'6. SousTraitance'!E$15),"-")</f>
        <v>4.8733290038134616</v>
      </c>
      <c r="F53" s="470">
        <f>IFERROR((F$35)/('6. SousTraitance'!F$7+'6. SousTraitance'!F$9+'6. SousTraitance'!F$11+'6. SousTraitance'!F$13+'6. SousTraitance'!F$15),"-")</f>
        <v>4.8905213491332358</v>
      </c>
      <c r="G53" s="470">
        <f>IFERROR((G$35)/('6. SousTraitance'!G$7+'6. SousTraitance'!G$9+'6. SousTraitance'!G$11+'6. SousTraitance'!G$13+'6. SousTraitance'!G$15),"-")</f>
        <v>4.9564058936897384</v>
      </c>
      <c r="H53" s="399">
        <f>IFERROR((H$35)/('6. SousTraitance'!H$7+'6. SousTraitance'!H$9+'6. SousTraitance'!H$11+'6. SousTraitance'!H$13+'6. SousTraitance'!H$15),"-")</f>
        <v>4.9844006744295681</v>
      </c>
      <c r="I53" s="471">
        <f t="shared" si="31"/>
        <v>4.886786608976128</v>
      </c>
      <c r="J53" s="471">
        <f t="shared" si="32"/>
        <v>29.32071965385677</v>
      </c>
      <c r="K53" s="11"/>
    </row>
    <row r="54" spans="1:11" outlineLevel="1" x14ac:dyDescent="0.3">
      <c r="A54" s="36" t="s">
        <v>474</v>
      </c>
      <c r="B54" s="12"/>
      <c r="C54" s="470">
        <f>IFERROR((C$38-C$34)/('4.Charges variables'!C$5+'6. SousTraitance'!C$7+'6. SousTraitance'!C$9+'6. SousTraitance'!C$11+'6. SousTraitance'!C$13+'6. SousTraitance'!C$15),"-")</f>
        <v>5.6570395169664405</v>
      </c>
      <c r="D54" s="470">
        <f>IFERROR((D$38-D$34)/('4.Charges variables'!D$5+'6. SousTraitance'!D$7+'6. SousTraitance'!D$9+'6. SousTraitance'!D$11+'6. SousTraitance'!D$13+'6. SousTraitance'!D$15),"-")</f>
        <v>5.690135112224822</v>
      </c>
      <c r="E54" s="470">
        <f>IFERROR((E$38-E$34)/('4.Charges variables'!E$5+'6. SousTraitance'!E$7+'6. SousTraitance'!E$9+'6. SousTraitance'!E$11+'6. SousTraitance'!E$13+'6. SousTraitance'!E$15),"-")</f>
        <v>5.723520952900536</v>
      </c>
      <c r="F54" s="470">
        <f>IFERROR((F$38-F$34)/('4.Charges variables'!F$5+'6. SousTraitance'!F$7+'6. SousTraitance'!F$9+'6. SousTraitance'!F$11+'6. SousTraitance'!F$13+'6. SousTraitance'!F$15),"-")</f>
        <v>5.7503139093800177</v>
      </c>
      <c r="G54" s="470">
        <f>IFERROR((G$38-G$34)/('4.Charges variables'!G$5+'6. SousTraitance'!G$7+'6. SousTraitance'!G$9+'6. SousTraitance'!G$11+'6. SousTraitance'!G$13+'6. SousTraitance'!G$15),"-")</f>
        <v>5.7829328475651929</v>
      </c>
      <c r="H54" s="399">
        <f>IFERROR((H$38-H$34)/('4.Charges variables'!H$5+'6. SousTraitance'!H$7+'6. SousTraitance'!H$9+'6. SousTraitance'!H$11+'6. SousTraitance'!H$13+'6. SousTraitance'!H$15),"-")</f>
        <v>5.8352865836842138</v>
      </c>
      <c r="I54" s="471">
        <f>IFERROR(AVERAGE(C54:H54),0)</f>
        <v>5.7398714871202037</v>
      </c>
      <c r="J54" s="471">
        <f>SUM(C54:H54)</f>
        <v>34.43922892272122</v>
      </c>
      <c r="K54" s="11"/>
    </row>
    <row r="55" spans="1:11" outlineLevel="1" x14ac:dyDescent="0.3">
      <c r="A55" s="36" t="s">
        <v>475</v>
      </c>
      <c r="B55" s="12"/>
      <c r="C55" s="470">
        <f>IFERROR((C$38-C$34-C$35)/('4.Charges variables'!C$5),"-")</f>
        <v>6.4524227238899226</v>
      </c>
      <c r="D55" s="470">
        <f>IFERROR((D$38-D$34-D$35)/('4.Charges variables'!D$5),"-")</f>
        <v>6.4846486907501042</v>
      </c>
      <c r="E55" s="470">
        <f>IFERROR((E$38-E$34-E$35)/('4.Charges variables'!E$5),"-")</f>
        <v>6.504358661704102</v>
      </c>
      <c r="F55" s="470">
        <f>IFERROR((F$38-F$34-F$35)/('4.Charges variables'!F$5),"-")</f>
        <v>6.5399690613846291</v>
      </c>
      <c r="G55" s="470">
        <f>IFERROR((G$38-G$34-G$35)/('4.Charges variables'!G$5),"-")</f>
        <v>6.5420360284662884</v>
      </c>
      <c r="H55" s="399">
        <f>IFERROR((H$38-H$34-H$35)/('4.Charges variables'!H$5),"-")</f>
        <v>6.6167616429917802</v>
      </c>
      <c r="I55" s="471">
        <f>IFERROR(AVERAGE(C55:H55),0)</f>
        <v>6.5233661348644709</v>
      </c>
      <c r="J55" s="471">
        <f>SUM(C55:H55)</f>
        <v>39.140196809186826</v>
      </c>
      <c r="K55" s="11"/>
    </row>
    <row r="56" spans="1:11" outlineLevel="1" x14ac:dyDescent="0.3">
      <c r="A56" s="59" t="s">
        <v>476</v>
      </c>
      <c r="B56" s="15"/>
      <c r="C56" s="477">
        <f>IFERROR((C$35)/('6. SousTraitance'!C$7+'6. SousTraitance'!C$9+'6. SousTraitance'!C$11+'6. SousTraitance'!C$13+'6. SousTraitance'!C$15),"-")</f>
        <v>4.7910101342390732</v>
      </c>
      <c r="D56" s="472">
        <f>IFERROR((D$35)/('6. SousTraitance'!D$7+'6. SousTraitance'!D$9+'6. SousTraitance'!D$11+'6. SousTraitance'!D$13+'6. SousTraitance'!D$15),"-")</f>
        <v>4.8250525985516948</v>
      </c>
      <c r="E56" s="472">
        <f>IFERROR((E$35)/('6. SousTraitance'!E$7+'6. SousTraitance'!E$9+'6. SousTraitance'!E$11+'6. SousTraitance'!E$13+'6. SousTraitance'!E$15),"-")</f>
        <v>4.8733290038134616</v>
      </c>
      <c r="F56" s="472">
        <f>IFERROR((F$35)/('6. SousTraitance'!F$7+'6. SousTraitance'!F$9+'6. SousTraitance'!F$11+'6. SousTraitance'!F$13+'6. SousTraitance'!F$15),"-")</f>
        <v>4.8905213491332358</v>
      </c>
      <c r="G56" s="472">
        <f>IFERROR((G$35)/('6. SousTraitance'!G$7+'6. SousTraitance'!G$9+'6. SousTraitance'!G$11+'6. SousTraitance'!G$13+'6. SousTraitance'!G$15),"-")</f>
        <v>4.9564058936897384</v>
      </c>
      <c r="H56" s="473">
        <f>IFERROR((H$35)/('6. SousTraitance'!H$7+'6. SousTraitance'!H$9+'6. SousTraitance'!H$11+'6. SousTraitance'!H$13+'6. SousTraitance'!H$15),"-")</f>
        <v>4.9844006744295681</v>
      </c>
      <c r="I56" s="474">
        <f t="shared" ref="I56" si="33">IFERROR(AVERAGE(C56:H56),0)</f>
        <v>4.886786608976128</v>
      </c>
      <c r="J56" s="474">
        <f t="shared" ref="J56" si="34">SUM(C56:H56)</f>
        <v>29.32071965385677</v>
      </c>
      <c r="K56" s="11"/>
    </row>
    <row r="57" spans="1:11" outlineLevel="1" x14ac:dyDescent="0.3"/>
    <row r="58" spans="1:11" outlineLevel="1" x14ac:dyDescent="0.3">
      <c r="A58" s="676" t="s">
        <v>397</v>
      </c>
      <c r="B58" s="475" t="str" cm="1">
        <f t="array" ref="B58">_xlfn.IFNA(_xlfn.IFS(C58=FALSE,"EF",D58=FALSE,"EF",E58=FALSE,"EF",F58=FALSE,"EF",G58=FALSE,"EF",H58=FALSE,"EF",I58=FALSE,"EF",J58=FALSE,"EF"),"")</f>
        <v/>
      </c>
      <c r="C58" s="476" t="str">
        <f>IF('3.Recettes'!C16=C10,"",FALSE)</f>
        <v/>
      </c>
      <c r="D58" s="476" t="str">
        <f>IF('3.Recettes'!D16=D10,"",FALSE)</f>
        <v/>
      </c>
      <c r="E58" s="476" t="str">
        <f>IF('3.Recettes'!E16=E10,"",FALSE)</f>
        <v/>
      </c>
      <c r="F58" s="476" t="str">
        <f>IF('3.Recettes'!F16=F10,"",FALSE)</f>
        <v/>
      </c>
      <c r="G58" s="476" t="str">
        <f>IF('3.Recettes'!G16=G10,"",FALSE)</f>
        <v/>
      </c>
      <c r="H58" s="476" t="str">
        <f>IF('3.Recettes'!H16=H10,"",FALSE)</f>
        <v/>
      </c>
      <c r="I58" s="476" t="str">
        <f>IF('3.Recettes'!I16=I10,"",FALSE)</f>
        <v/>
      </c>
      <c r="J58" s="476" t="str">
        <f>IF('3.Recettes'!J16=J10,"",FALSE)</f>
        <v/>
      </c>
    </row>
    <row r="59" spans="1:11" outlineLevel="1" x14ac:dyDescent="0.3">
      <c r="A59" s="676"/>
      <c r="B59" s="475" t="str" cm="1">
        <f t="array" ref="B59">_xlfn.IFNA(_xlfn.IFS(C59=FALSE,"OR",D59=FALSE,"OR",E59=FALSE,"OR",F59=FALSE,"OR",G59=FALSE,"OR",H59=FALSE,"OR",I59=FALSE,"OR",J59=FALSE,"OR"),"")</f>
        <v>OR</v>
      </c>
      <c r="C59" s="476" t="str">
        <f>IF(('3.Recettes'!C96+'3.Recettes'!C101+'3.Recettes'!C110)=C17,"",FALSE)</f>
        <v/>
      </c>
      <c r="D59" s="476" t="str">
        <f>IF(('3.Recettes'!D96+'3.Recettes'!D101+'3.Recettes'!D110)=D17,"",FALSE)</f>
        <v/>
      </c>
      <c r="E59" s="476" t="str">
        <f>IF(('3.Recettes'!E96+'3.Recettes'!E101+'3.Recettes'!E110)=E17,"",FALSE)</f>
        <v/>
      </c>
      <c r="F59" s="476" t="str">
        <f>IF(('3.Recettes'!F96+'3.Recettes'!F101+'3.Recettes'!F110)=F17,"",FALSE)</f>
        <v/>
      </c>
      <c r="G59" s="476" t="str">
        <f>IF(('3.Recettes'!G96+'3.Recettes'!G101+'3.Recettes'!G110)=G17,"",FALSE)</f>
        <v/>
      </c>
      <c r="H59" s="476" t="str">
        <f>IF(('3.Recettes'!H96+'3.Recettes'!H101+'3.Recettes'!H110)=H17,"",FALSE)</f>
        <v/>
      </c>
      <c r="I59" s="476" t="b">
        <f>IF(('3.Recettes'!I96+'3.Recettes'!I101+'3.Recettes'!I110)=I17,"",FALSE)</f>
        <v>0</v>
      </c>
      <c r="J59" s="476" t="str">
        <f>IF(('3.Recettes'!J96+'3.Recettes'!J101+'3.Recettes'!J110)=J17,"",FALSE)</f>
        <v/>
      </c>
    </row>
    <row r="60" spans="1:11" outlineLevel="1" x14ac:dyDescent="0.3">
      <c r="A60" s="676"/>
      <c r="B60" s="475" t="str" cm="1">
        <f t="array" ref="B60">_xlfn.IFNA(_xlfn.IFS(C60=FALSE,"CV",D60=FALSE,"CV",E60=FALSE,"CV",F60=FALSE,"CV",G60=FALSE,"CV",H60=FALSE,"CV",I60=FALSE,"CV",J60=FALSE,"CV"),"")</f>
        <v/>
      </c>
      <c r="C60" s="476" t="str">
        <f>IF('4.Charges variables'!C49=C21,"",FALSE)</f>
        <v/>
      </c>
      <c r="D60" s="476" t="str">
        <f>IF('4.Charges variables'!D49=D21,"",FALSE)</f>
        <v/>
      </c>
      <c r="E60" s="476" t="str">
        <f>IF('4.Charges variables'!E49=E21,"",FALSE)</f>
        <v/>
      </c>
      <c r="F60" s="476" t="str">
        <f>IF('4.Charges variables'!F49=F21,"",FALSE)</f>
        <v/>
      </c>
      <c r="G60" s="476" t="str">
        <f>IF('4.Charges variables'!G49=G21,"",FALSE)</f>
        <v/>
      </c>
      <c r="H60" s="476" t="str">
        <f>IF('4.Charges variables'!H49=H21,"",FALSE)</f>
        <v/>
      </c>
      <c r="I60" s="476" t="str">
        <f>IF('4.Charges variables'!I49=I21,"",FALSE)</f>
        <v/>
      </c>
      <c r="J60" s="476" t="str">
        <f>IF('4.Charges variables'!J49=J21,"",FALSE)</f>
        <v/>
      </c>
    </row>
    <row r="61" spans="1:11" outlineLevel="1" x14ac:dyDescent="0.3">
      <c r="A61" s="676"/>
      <c r="B61" s="475" t="str" cm="1">
        <f t="array" ref="B61">_xlfn.IFNA(_xlfn.IFS(C61=FALSE,"CF",D61=FALSE,"CF",E61=FALSE,"CF",F61=FALSE,"CF",G61=FALSE,"CF",H61=FALSE,"CF",I61=FALSE,"CF",J61=FALSE,"CF"),"")</f>
        <v/>
      </c>
      <c r="C61" s="476" t="str">
        <f>IF('5.Charges fixes'!C114=C25,"",FALSE)</f>
        <v/>
      </c>
      <c r="D61" s="476" t="str">
        <f>IF('5.Charges fixes'!D114=D25,"",FALSE)</f>
        <v/>
      </c>
      <c r="E61" s="476" t="str">
        <f>IF('5.Charges fixes'!E114=E25,"",FALSE)</f>
        <v/>
      </c>
      <c r="F61" s="476" t="str">
        <f>IF('5.Charges fixes'!F114=F25,"",FALSE)</f>
        <v/>
      </c>
      <c r="G61" s="476" t="str">
        <f>IF('5.Charges fixes'!G114=G25,"",FALSE)</f>
        <v/>
      </c>
      <c r="H61" s="476" t="str">
        <f>IF('5.Charges fixes'!H114=H25,"",FALSE)</f>
        <v/>
      </c>
      <c r="I61" s="476" t="str">
        <f>IF('5.Charges fixes'!I114=I25,"",FALSE)</f>
        <v/>
      </c>
      <c r="J61" s="476" t="str">
        <f>IF('5.Charges fixes'!J114=J25,"",FALSE)</f>
        <v/>
      </c>
    </row>
    <row r="62" spans="1:11" outlineLevel="1" x14ac:dyDescent="0.3">
      <c r="A62" s="676"/>
      <c r="B62" s="475" t="str" cm="1">
        <f t="array" ref="B62">_xlfn.IFNA(_xlfn.IFS(C62=FALSE,"CST",D62=FALSE,"CST",E62=FALSE,"CST",F62=FALSE,"CST",G62=FALSE,"CST",H62=FALSE,"CST",I62=FALSE,"CST",J62=FALSE,"CST"),"")</f>
        <v/>
      </c>
      <c r="C62" s="476" t="str">
        <f>IF('6. SousTraitance'!C39=C35,"",FALSE)</f>
        <v/>
      </c>
      <c r="D62" s="476" t="str">
        <f>IF('6. SousTraitance'!D39=D35,"",FALSE)</f>
        <v/>
      </c>
      <c r="E62" s="476" t="str">
        <f>IF('6. SousTraitance'!E39=E35,"",FALSE)</f>
        <v/>
      </c>
      <c r="F62" s="476" t="str">
        <f>IF('6. SousTraitance'!F39=F35,"",FALSE)</f>
        <v/>
      </c>
      <c r="G62" s="476" t="str">
        <f>IF('6. SousTraitance'!G39=G35,"",FALSE)</f>
        <v/>
      </c>
      <c r="H62" s="476" t="str">
        <f>IF('6. SousTraitance'!H39=H35,"",FALSE)</f>
        <v/>
      </c>
      <c r="I62" s="476" t="str">
        <f>IF('6. SousTraitance'!I39=I35,"",FALSE)</f>
        <v/>
      </c>
      <c r="J62" s="476" t="str">
        <f>IF('6. SousTraitance'!J39=J35,"",FALSE)</f>
        <v/>
      </c>
    </row>
  </sheetData>
  <mergeCells count="13">
    <mergeCell ref="A42:A43"/>
    <mergeCell ref="B42:B43"/>
    <mergeCell ref="A58:A62"/>
    <mergeCell ref="A1:J1"/>
    <mergeCell ref="L12:L13"/>
    <mergeCell ref="L19:L20"/>
    <mergeCell ref="A19:A20"/>
    <mergeCell ref="B19:B20"/>
    <mergeCell ref="B12:B13"/>
    <mergeCell ref="A12:A13"/>
    <mergeCell ref="A3:A4"/>
    <mergeCell ref="B3:B4"/>
    <mergeCell ref="L3:L4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&amp;L&amp;F&amp;R&amp;A</oddHeader>
    <oddFooter>&amp;L&amp;D&amp;C&amp;P/&amp;N&amp;R&amp;T</oddFooter>
  </headerFooter>
  <ignoredErrors>
    <ignoredError sqref="C17:H17 C21:H21 C25:H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D0A5-8DD2-4EAA-AFF3-2A71828428AA}">
  <sheetPr codeName="Sheet42">
    <tabColor theme="4"/>
    <pageSetUpPr fitToPage="1"/>
  </sheetPr>
  <dimension ref="A1:AL62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outlineLevelRow="1" x14ac:dyDescent="0.3"/>
  <cols>
    <col min="1" max="1" width="40.453125" style="2" customWidth="1"/>
    <col min="2" max="2" width="11.453125" style="17" customWidth="1"/>
    <col min="3" max="8" width="12.453125" style="28" bestFit="1" customWidth="1"/>
    <col min="9" max="9" width="9.81640625" style="28" bestFit="1" customWidth="1"/>
    <col min="10" max="10" width="10.81640625" style="28" bestFit="1" customWidth="1"/>
    <col min="11" max="11" width="3.54296875" style="2" customWidth="1"/>
    <col min="12" max="12" width="27.453125" style="2" bestFit="1" customWidth="1"/>
    <col min="13" max="19" width="15.54296875" style="2" customWidth="1"/>
    <col min="20" max="20" width="11.26953125" style="2"/>
    <col min="21" max="24" width="7.81640625" style="2" customWidth="1"/>
    <col min="25" max="16384" width="11.26953125" style="2"/>
  </cols>
  <sheetData>
    <row r="1" spans="1:38" ht="30" customHeight="1" x14ac:dyDescent="0.35">
      <c r="A1" s="680" t="s">
        <v>518</v>
      </c>
      <c r="B1" s="681"/>
      <c r="C1" s="681"/>
      <c r="D1" s="681"/>
      <c r="E1" s="681"/>
      <c r="F1" s="681"/>
      <c r="G1" s="681"/>
      <c r="H1" s="681"/>
      <c r="I1" s="681"/>
      <c r="J1" s="682"/>
      <c r="L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</row>
    <row r="2" spans="1:38" ht="14.5" x14ac:dyDescent="0.35">
      <c r="L2"/>
      <c r="M2" s="171"/>
      <c r="N2" s="171"/>
      <c r="O2" s="623"/>
      <c r="P2" s="623"/>
      <c r="Q2" s="623"/>
      <c r="R2" s="623"/>
      <c r="S2" s="623"/>
      <c r="T2" s="623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</row>
    <row r="3" spans="1:38" ht="27.65" customHeight="1" x14ac:dyDescent="0.3">
      <c r="A3" s="668" t="s">
        <v>375</v>
      </c>
      <c r="B3" s="678" t="s">
        <v>0</v>
      </c>
      <c r="C3" s="590">
        <v>2024</v>
      </c>
      <c r="D3" s="590">
        <f>C3+1</f>
        <v>2025</v>
      </c>
      <c r="E3" s="590">
        <f t="shared" ref="E3:G3" si="0">D3+1</f>
        <v>2026</v>
      </c>
      <c r="F3" s="590">
        <f t="shared" si="0"/>
        <v>2027</v>
      </c>
      <c r="G3" s="590">
        <f t="shared" si="0"/>
        <v>2028</v>
      </c>
      <c r="H3" s="591">
        <f>G3+1</f>
        <v>2029</v>
      </c>
      <c r="I3" s="179" t="s">
        <v>271</v>
      </c>
      <c r="J3" s="4" t="s">
        <v>62</v>
      </c>
      <c r="L3" s="687" t="s">
        <v>338</v>
      </c>
      <c r="M3" s="171"/>
      <c r="N3" s="171"/>
      <c r="O3" s="623"/>
      <c r="P3" s="623"/>
      <c r="Q3" s="623"/>
      <c r="R3" s="623"/>
      <c r="S3" s="623"/>
      <c r="T3" s="623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</row>
    <row r="4" spans="1:38" x14ac:dyDescent="0.3">
      <c r="A4" s="669"/>
      <c r="B4" s="679"/>
      <c r="C4" s="77">
        <v>12</v>
      </c>
      <c r="D4" s="77">
        <v>12</v>
      </c>
      <c r="E4" s="77">
        <v>12</v>
      </c>
      <c r="F4" s="77">
        <v>12</v>
      </c>
      <c r="G4" s="77">
        <v>12</v>
      </c>
      <c r="H4" s="181">
        <v>12</v>
      </c>
      <c r="I4" s="78">
        <f t="shared" ref="I4:I9" si="1">IFERROR(AVERAGE(C4:H4),0)</f>
        <v>12</v>
      </c>
      <c r="J4" s="78">
        <f t="shared" ref="J4:J9" si="2">SUM(C4:H4)</f>
        <v>72</v>
      </c>
      <c r="L4" s="688"/>
      <c r="M4" s="171"/>
      <c r="N4" s="171"/>
      <c r="O4" s="623"/>
      <c r="P4" s="623"/>
      <c r="Q4" s="623"/>
      <c r="R4" s="623"/>
      <c r="S4" s="623"/>
      <c r="T4" s="623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</row>
    <row r="5" spans="1:38" x14ac:dyDescent="0.3">
      <c r="A5" s="302" t="s">
        <v>356</v>
      </c>
      <c r="B5" s="8"/>
      <c r="C5" s="592">
        <v>13187795.08777234</v>
      </c>
      <c r="D5" s="592">
        <v>13893189.664871149</v>
      </c>
      <c r="E5" s="592">
        <v>14235866.309847273</v>
      </c>
      <c r="F5" s="592">
        <v>14580968.201039163</v>
      </c>
      <c r="G5" s="592">
        <v>14849270.269404853</v>
      </c>
      <c r="H5" s="593">
        <v>15101117.574240524</v>
      </c>
      <c r="I5" s="10">
        <f t="shared" si="1"/>
        <v>14308034.517862551</v>
      </c>
      <c r="J5" s="10">
        <f t="shared" si="2"/>
        <v>85848207.107175305</v>
      </c>
      <c r="K5" s="11"/>
      <c r="L5" s="624"/>
      <c r="M5" s="233"/>
      <c r="N5" s="171"/>
      <c r="O5" s="623"/>
      <c r="P5" s="623"/>
      <c r="Q5" s="623"/>
      <c r="R5" s="623"/>
      <c r="S5" s="623"/>
      <c r="T5" s="623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</row>
    <row r="6" spans="1:38" x14ac:dyDescent="0.3">
      <c r="A6" s="36" t="s">
        <v>332</v>
      </c>
      <c r="B6" s="12"/>
      <c r="C6" s="13">
        <v>69109.71591469807</v>
      </c>
      <c r="D6" s="13">
        <v>72806.286759680908</v>
      </c>
      <c r="E6" s="13">
        <v>74602.05970180525</v>
      </c>
      <c r="F6" s="13">
        <v>76410.541976754306</v>
      </c>
      <c r="G6" s="13">
        <v>77816.56016255937</v>
      </c>
      <c r="H6" s="157">
        <v>79136.348313287745</v>
      </c>
      <c r="I6" s="14">
        <f t="shared" si="1"/>
        <v>74980.252138130949</v>
      </c>
      <c r="J6" s="14">
        <f t="shared" si="2"/>
        <v>449881.51282878569</v>
      </c>
      <c r="K6" s="11"/>
      <c r="L6" s="625"/>
      <c r="M6" s="233"/>
      <c r="N6" s="171"/>
      <c r="O6" s="171"/>
      <c r="P6" s="233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</row>
    <row r="7" spans="1:38" x14ac:dyDescent="0.3">
      <c r="A7" s="36" t="s">
        <v>463</v>
      </c>
      <c r="B7" s="12"/>
      <c r="C7" s="13">
        <v>17277.428978674518</v>
      </c>
      <c r="D7" s="13">
        <v>18201.571689920227</v>
      </c>
      <c r="E7" s="13">
        <v>18650.514925451313</v>
      </c>
      <c r="F7" s="13">
        <v>19102.635494188577</v>
      </c>
      <c r="G7" s="13">
        <v>19454.140040639842</v>
      </c>
      <c r="H7" s="157">
        <v>19784.087078321936</v>
      </c>
      <c r="I7" s="14">
        <f t="shared" si="1"/>
        <v>18745.063034532737</v>
      </c>
      <c r="J7" s="14">
        <f t="shared" si="2"/>
        <v>112470.37820719642</v>
      </c>
      <c r="K7" s="11"/>
      <c r="L7" s="625"/>
      <c r="M7" s="233"/>
      <c r="N7" s="171"/>
      <c r="O7" s="171"/>
      <c r="P7" s="23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</row>
    <row r="8" spans="1:38" x14ac:dyDescent="0.3">
      <c r="A8" s="36" t="s">
        <v>360</v>
      </c>
      <c r="B8" s="12"/>
      <c r="C8" s="13">
        <v>16147.750930068876</v>
      </c>
      <c r="D8" s="13">
        <v>17011.468925579291</v>
      </c>
      <c r="E8" s="13">
        <v>17431.05818032565</v>
      </c>
      <c r="F8" s="13">
        <v>17853.617019568555</v>
      </c>
      <c r="G8" s="13">
        <v>18182.138576444162</v>
      </c>
      <c r="H8" s="157">
        <v>18490.512153970118</v>
      </c>
      <c r="I8" s="14">
        <f t="shared" si="1"/>
        <v>17519.424297659443</v>
      </c>
      <c r="J8" s="14">
        <f t="shared" si="2"/>
        <v>105116.54578595667</v>
      </c>
      <c r="K8" s="11"/>
      <c r="L8" s="625"/>
      <c r="M8" s="233"/>
      <c r="N8" s="171"/>
      <c r="O8" s="171"/>
      <c r="P8" s="233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x14ac:dyDescent="0.3">
      <c r="A9" s="617" t="s">
        <v>532</v>
      </c>
      <c r="B9" s="618"/>
      <c r="C9" s="619">
        <v>2393841.4089250886</v>
      </c>
      <c r="D9" s="619">
        <v>2428701.6518040416</v>
      </c>
      <c r="E9" s="619">
        <v>2445949.4763339763</v>
      </c>
      <c r="F9" s="619">
        <v>2465995.356349173</v>
      </c>
      <c r="G9" s="619">
        <v>2473046.2587325047</v>
      </c>
      <c r="H9" s="620">
        <v>2476494.9852180141</v>
      </c>
      <c r="I9" s="621">
        <f t="shared" si="1"/>
        <v>2447338.1895604669</v>
      </c>
      <c r="J9" s="621">
        <f t="shared" si="2"/>
        <v>14684029.137362801</v>
      </c>
      <c r="K9" s="11"/>
      <c r="L9" s="625"/>
      <c r="M9" s="233"/>
      <c r="N9" s="171"/>
      <c r="O9" s="171"/>
      <c r="P9" s="233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s="5" customFormat="1" x14ac:dyDescent="0.3">
      <c r="A10" s="96" t="s">
        <v>372</v>
      </c>
      <c r="B10" s="57" t="s">
        <v>336</v>
      </c>
      <c r="C10" s="19">
        <f>SUM(C5:C9)</f>
        <v>15684171.392520869</v>
      </c>
      <c r="D10" s="19">
        <f t="shared" ref="D10:H10" si="3">SUM(D5:D9)</f>
        <v>16429910.644050369</v>
      </c>
      <c r="E10" s="19">
        <f t="shared" si="3"/>
        <v>16792499.418988831</v>
      </c>
      <c r="F10" s="19">
        <f t="shared" si="3"/>
        <v>17160330.351878848</v>
      </c>
      <c r="G10" s="19">
        <f t="shared" si="3"/>
        <v>17437769.366916999</v>
      </c>
      <c r="H10" s="35">
        <f t="shared" si="3"/>
        <v>17695023.507004116</v>
      </c>
      <c r="I10" s="20">
        <f>IFERROR(AVERAGE(C10:H10),0)</f>
        <v>16866617.446893338</v>
      </c>
      <c r="J10" s="20">
        <f>SUM(C10:H10)</f>
        <v>101199704.68136004</v>
      </c>
      <c r="K10" s="6"/>
      <c r="L10" s="626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x14ac:dyDescent="0.3">
      <c r="C11" s="13"/>
      <c r="D11" s="13"/>
      <c r="E11" s="13"/>
      <c r="F11" s="13"/>
      <c r="G11" s="13"/>
      <c r="H11" s="13"/>
      <c r="I11" s="13"/>
      <c r="J11" s="13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7.65" customHeight="1" x14ac:dyDescent="0.3">
      <c r="A12" s="668" t="s">
        <v>201</v>
      </c>
      <c r="B12" s="678" t="s">
        <v>0</v>
      </c>
      <c r="C12" s="590">
        <f>Annee</f>
        <v>2024</v>
      </c>
      <c r="D12" s="590">
        <f>C12+1</f>
        <v>2025</v>
      </c>
      <c r="E12" s="590">
        <f t="shared" ref="E12:G12" si="4">D12+1</f>
        <v>2026</v>
      </c>
      <c r="F12" s="590">
        <f t="shared" si="4"/>
        <v>2027</v>
      </c>
      <c r="G12" s="590">
        <f t="shared" si="4"/>
        <v>2028</v>
      </c>
      <c r="H12" s="591">
        <f>G12+1</f>
        <v>2029</v>
      </c>
      <c r="I12" s="179" t="s">
        <v>271</v>
      </c>
      <c r="J12" s="4" t="s">
        <v>62</v>
      </c>
      <c r="L12" s="687" t="s">
        <v>338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8" x14ac:dyDescent="0.3">
      <c r="A13" s="669"/>
      <c r="B13" s="679"/>
      <c r="C13" s="77">
        <v>12</v>
      </c>
      <c r="D13" s="77">
        <v>12</v>
      </c>
      <c r="E13" s="77">
        <v>12</v>
      </c>
      <c r="F13" s="77">
        <v>12</v>
      </c>
      <c r="G13" s="77">
        <v>12</v>
      </c>
      <c r="H13" s="181">
        <v>12</v>
      </c>
      <c r="I13" s="78">
        <f>IFERROR(AVERAGE(C13:H13),0)</f>
        <v>12</v>
      </c>
      <c r="J13" s="78">
        <f t="shared" ref="J13:J17" si="5">SUM(C13:H13)</f>
        <v>72</v>
      </c>
      <c r="L13" s="688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8" x14ac:dyDescent="0.3">
      <c r="A14" s="302" t="s">
        <v>66</v>
      </c>
      <c r="B14" s="8"/>
      <c r="C14" s="592">
        <v>5265297.113835779</v>
      </c>
      <c r="D14" s="592">
        <v>5536360.3445616579</v>
      </c>
      <c r="E14" s="592">
        <v>5662784.2022868032</v>
      </c>
      <c r="F14" s="592">
        <v>5767757.874517139</v>
      </c>
      <c r="G14" s="592">
        <v>5844708.9831945701</v>
      </c>
      <c r="H14" s="593">
        <v>5910238.2433930635</v>
      </c>
      <c r="I14" s="10">
        <f>IFERROR(AVERAGE(C14:H14),0)</f>
        <v>5664524.4602981685</v>
      </c>
      <c r="J14" s="10">
        <f t="shared" si="5"/>
        <v>33987146.761789009</v>
      </c>
      <c r="K14" s="11"/>
      <c r="L14" s="624"/>
      <c r="M14" s="233"/>
      <c r="N14" s="171"/>
      <c r="O14" s="171"/>
      <c r="P14" s="233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5" spans="1:38" x14ac:dyDescent="0.3">
      <c r="A15" s="36" t="s">
        <v>334</v>
      </c>
      <c r="B15" s="12"/>
      <c r="C15" s="13">
        <v>95000</v>
      </c>
      <c r="D15" s="13">
        <v>95000</v>
      </c>
      <c r="E15" s="13">
        <v>95000</v>
      </c>
      <c r="F15" s="13">
        <v>95000</v>
      </c>
      <c r="G15" s="13">
        <v>95000</v>
      </c>
      <c r="H15" s="157">
        <v>95000</v>
      </c>
      <c r="I15" s="14">
        <f>IFERROR(AVERAGE(C15:H15),0)</f>
        <v>95000</v>
      </c>
      <c r="J15" s="14">
        <f t="shared" si="5"/>
        <v>570000</v>
      </c>
      <c r="K15" s="11"/>
      <c r="L15" s="625"/>
      <c r="M15" s="233"/>
      <c r="N15" s="171"/>
      <c r="O15" s="171"/>
      <c r="P15" s="233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</row>
    <row r="16" spans="1:38" x14ac:dyDescent="0.3">
      <c r="A16" s="59" t="s">
        <v>67</v>
      </c>
      <c r="B16" s="15"/>
      <c r="C16" s="106">
        <v>226000.8</v>
      </c>
      <c r="D16" s="106">
        <v>228568.40000000002</v>
      </c>
      <c r="E16" s="106">
        <v>230567.6</v>
      </c>
      <c r="F16" s="106">
        <v>236194.8</v>
      </c>
      <c r="G16" s="106">
        <v>236292.8</v>
      </c>
      <c r="H16" s="183">
        <v>236332</v>
      </c>
      <c r="I16" s="16">
        <f>IFERROR(AVERAGE(C16:H16),0)</f>
        <v>232326.06666666668</v>
      </c>
      <c r="J16" s="16">
        <f t="shared" si="5"/>
        <v>1393956.4000000001</v>
      </c>
      <c r="K16" s="11"/>
      <c r="L16" s="625"/>
      <c r="M16" s="233"/>
      <c r="N16" s="171"/>
      <c r="O16" s="171"/>
      <c r="P16" s="233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</row>
    <row r="17" spans="1:38" s="5" customFormat="1" x14ac:dyDescent="0.3">
      <c r="A17" s="96" t="s">
        <v>207</v>
      </c>
      <c r="B17" s="57" t="s">
        <v>336</v>
      </c>
      <c r="C17" s="19">
        <f>SUM(C14:C16)</f>
        <v>5586297.9138357788</v>
      </c>
      <c r="D17" s="19">
        <f t="shared" ref="D17:H17" si="6">SUM(D14:D16)</f>
        <v>5859928.7445616582</v>
      </c>
      <c r="E17" s="19">
        <f t="shared" si="6"/>
        <v>5988351.8022868028</v>
      </c>
      <c r="F17" s="19">
        <f t="shared" si="6"/>
        <v>6098952.6745171389</v>
      </c>
      <c r="G17" s="19">
        <f t="shared" si="6"/>
        <v>6176001.7831945699</v>
      </c>
      <c r="H17" s="35">
        <f t="shared" si="6"/>
        <v>6241570.2433930635</v>
      </c>
      <c r="I17" s="20">
        <f>IFERROR(AVERAGE(C17:H17),0)</f>
        <v>5991850.5269648358</v>
      </c>
      <c r="J17" s="20">
        <f t="shared" si="5"/>
        <v>35951103.161789015</v>
      </c>
      <c r="K17" s="6"/>
      <c r="L17" s="626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</row>
    <row r="18" spans="1:38" ht="14.5" x14ac:dyDescent="0.35">
      <c r="C18" s="13"/>
      <c r="D18" s="13"/>
      <c r="E18" s="13"/>
      <c r="F18" s="13"/>
      <c r="G18" s="13"/>
      <c r="H18" s="13"/>
      <c r="I18" s="13"/>
      <c r="J18" s="13"/>
      <c r="L18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</row>
    <row r="19" spans="1:38" ht="27.65" customHeight="1" x14ac:dyDescent="0.3">
      <c r="A19" s="668" t="s">
        <v>198</v>
      </c>
      <c r="B19" s="678" t="s">
        <v>0</v>
      </c>
      <c r="C19" s="590">
        <f>Annee</f>
        <v>2024</v>
      </c>
      <c r="D19" s="590">
        <f>C19+1</f>
        <v>2025</v>
      </c>
      <c r="E19" s="590">
        <f t="shared" ref="E19:G19" si="7">D19+1</f>
        <v>2026</v>
      </c>
      <c r="F19" s="590">
        <f t="shared" si="7"/>
        <v>2027</v>
      </c>
      <c r="G19" s="590">
        <f t="shared" si="7"/>
        <v>2028</v>
      </c>
      <c r="H19" s="591">
        <f>G19+1</f>
        <v>2029</v>
      </c>
      <c r="I19" s="179" t="s">
        <v>271</v>
      </c>
      <c r="J19" s="4" t="s">
        <v>62</v>
      </c>
      <c r="L19" s="686" t="s">
        <v>338</v>
      </c>
      <c r="M19" s="171"/>
      <c r="N19" s="233"/>
      <c r="O19" s="233"/>
      <c r="P19" s="233"/>
      <c r="Q19" s="233"/>
      <c r="R19" s="233"/>
      <c r="S19" s="233"/>
      <c r="T19" s="171"/>
      <c r="U19" s="171"/>
      <c r="V19" s="171"/>
      <c r="W19" s="171"/>
      <c r="X19" s="171"/>
      <c r="Y19" s="233"/>
      <c r="Z19" s="233"/>
      <c r="AA19" s="233"/>
      <c r="AB19" s="233"/>
      <c r="AC19" s="233"/>
      <c r="AD19" s="233"/>
      <c r="AE19" s="171"/>
      <c r="AF19" s="171"/>
      <c r="AG19" s="627"/>
      <c r="AH19" s="627"/>
      <c r="AI19" s="627"/>
      <c r="AJ19" s="627"/>
      <c r="AK19" s="627"/>
      <c r="AL19" s="627"/>
    </row>
    <row r="20" spans="1:38" x14ac:dyDescent="0.3">
      <c r="A20" s="669"/>
      <c r="B20" s="679"/>
      <c r="C20" s="77">
        <v>12</v>
      </c>
      <c r="D20" s="77">
        <v>12</v>
      </c>
      <c r="E20" s="77">
        <v>12</v>
      </c>
      <c r="F20" s="77">
        <v>12</v>
      </c>
      <c r="G20" s="77">
        <v>12</v>
      </c>
      <c r="H20" s="181">
        <v>12</v>
      </c>
      <c r="I20" s="78">
        <f t="shared" ref="I20:I38" si="8">IFERROR(AVERAGE(C20:H20),0)</f>
        <v>12</v>
      </c>
      <c r="J20" s="78">
        <f t="shared" ref="J20:J38" si="9">SUM(C20:H20)</f>
        <v>72</v>
      </c>
      <c r="L20" s="686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233"/>
      <c r="Z20" s="233"/>
      <c r="AA20" s="233"/>
      <c r="AB20" s="233"/>
      <c r="AC20" s="233"/>
      <c r="AD20" s="233"/>
      <c r="AE20" s="171"/>
      <c r="AF20" s="171"/>
      <c r="AG20" s="171"/>
      <c r="AH20" s="171"/>
      <c r="AI20" s="171"/>
      <c r="AJ20" s="171"/>
      <c r="AK20" s="171"/>
      <c r="AL20" s="171"/>
    </row>
    <row r="21" spans="1:38" s="5" customFormat="1" x14ac:dyDescent="0.3">
      <c r="A21" s="303" t="s">
        <v>197</v>
      </c>
      <c r="B21" s="150" t="s">
        <v>168</v>
      </c>
      <c r="C21" s="110">
        <f>SUM(C22:C24)</f>
        <v>27931321.909597993</v>
      </c>
      <c r="D21" s="110">
        <f t="shared" ref="D21:H21" si="10">SUM(D22:D24)</f>
        <v>28078100.71019616</v>
      </c>
      <c r="E21" s="110">
        <f t="shared" si="10"/>
        <v>28042574.387684196</v>
      </c>
      <c r="F21" s="110">
        <f t="shared" si="10"/>
        <v>28435204.278413914</v>
      </c>
      <c r="G21" s="110">
        <f t="shared" si="10"/>
        <v>28283131.813289188</v>
      </c>
      <c r="H21" s="184">
        <f t="shared" si="10"/>
        <v>28956459.687073737</v>
      </c>
      <c r="I21" s="24">
        <f t="shared" si="8"/>
        <v>28287798.797709201</v>
      </c>
      <c r="J21" s="24">
        <f t="shared" si="9"/>
        <v>169726792.78625521</v>
      </c>
      <c r="K21" s="613"/>
      <c r="L21" s="625"/>
      <c r="M21" s="628"/>
      <c r="N21" s="233"/>
      <c r="O21" s="233"/>
      <c r="P21" s="233"/>
      <c r="Q21" s="233"/>
      <c r="R21" s="233"/>
      <c r="S21" s="233"/>
      <c r="T21" s="171"/>
      <c r="U21" s="171"/>
      <c r="V21" s="171"/>
      <c r="W21" s="171"/>
      <c r="X21" s="171"/>
      <c r="Y21" s="233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</row>
    <row r="22" spans="1:38" x14ac:dyDescent="0.3">
      <c r="A22" s="36" t="s">
        <v>1</v>
      </c>
      <c r="B22" s="554">
        <f>I21/($I$38-5600000)</f>
        <v>0.37399425673596581</v>
      </c>
      <c r="C22" s="608">
        <v>8614688.2137103099</v>
      </c>
      <c r="D22" s="608">
        <v>8633591.8247634619</v>
      </c>
      <c r="E22" s="608">
        <v>8535794.7067952696</v>
      </c>
      <c r="F22" s="608">
        <v>8772094.5457428992</v>
      </c>
      <c r="G22" s="608">
        <v>8492634.8031892423</v>
      </c>
      <c r="H22" s="609">
        <v>9043580.3505237605</v>
      </c>
      <c r="I22" s="14">
        <f t="shared" si="8"/>
        <v>8682064.0741208233</v>
      </c>
      <c r="J22" s="14">
        <f t="shared" si="9"/>
        <v>52092384.44472494</v>
      </c>
      <c r="L22" s="624" t="s">
        <v>320</v>
      </c>
      <c r="M22" s="171"/>
      <c r="N22" s="627"/>
      <c r="O22" s="627"/>
      <c r="P22" s="627"/>
      <c r="Q22" s="627"/>
      <c r="R22" s="627"/>
      <c r="S22" s="627"/>
      <c r="T22" s="171"/>
      <c r="U22" s="171"/>
      <c r="V22" s="171"/>
      <c r="W22" s="171"/>
      <c r="X22" s="171"/>
      <c r="Y22" s="233"/>
      <c r="Z22" s="233"/>
      <c r="AA22" s="233"/>
      <c r="AB22" s="233"/>
      <c r="AC22" s="233"/>
      <c r="AD22" s="233"/>
      <c r="AE22" s="171"/>
      <c r="AF22" s="171"/>
      <c r="AG22" s="233"/>
      <c r="AH22" s="233"/>
      <c r="AI22" s="233"/>
      <c r="AJ22" s="233"/>
      <c r="AK22" s="233"/>
      <c r="AL22" s="233"/>
    </row>
    <row r="23" spans="1:38" x14ac:dyDescent="0.3">
      <c r="A23" s="36" t="s">
        <v>392</v>
      </c>
      <c r="B23" s="12"/>
      <c r="C23" s="608">
        <v>19064738.725887682</v>
      </c>
      <c r="D23" s="608">
        <v>19193986.415432699</v>
      </c>
      <c r="E23" s="608">
        <v>19256594.71088893</v>
      </c>
      <c r="F23" s="608">
        <v>19412524.762671016</v>
      </c>
      <c r="G23" s="608">
        <v>19536533.040099949</v>
      </c>
      <c r="H23" s="609">
        <v>19659990.36654998</v>
      </c>
      <c r="I23" s="14">
        <f t="shared" si="8"/>
        <v>19354061.336921711</v>
      </c>
      <c r="J23" s="14">
        <f t="shared" si="9"/>
        <v>116124368.02153026</v>
      </c>
      <c r="L23" s="625" t="s">
        <v>309</v>
      </c>
      <c r="M23" s="171"/>
      <c r="N23" s="627"/>
      <c r="O23" s="627"/>
      <c r="P23" s="627"/>
      <c r="Q23" s="627"/>
      <c r="R23" s="627"/>
      <c r="S23" s="627"/>
      <c r="T23" s="171"/>
      <c r="U23" s="171"/>
      <c r="V23" s="171"/>
      <c r="W23" s="171"/>
      <c r="X23" s="171"/>
      <c r="Y23" s="233"/>
      <c r="Z23" s="233"/>
      <c r="AA23" s="233"/>
      <c r="AB23" s="233"/>
      <c r="AC23" s="233"/>
      <c r="AD23" s="233"/>
      <c r="AE23" s="171"/>
      <c r="AF23" s="171"/>
      <c r="AG23" s="233"/>
      <c r="AH23" s="233"/>
      <c r="AI23" s="233"/>
      <c r="AJ23" s="233"/>
      <c r="AK23" s="233"/>
      <c r="AL23" s="233"/>
    </row>
    <row r="24" spans="1:38" x14ac:dyDescent="0.3">
      <c r="A24" s="36" t="s">
        <v>2</v>
      </c>
      <c r="B24" s="12"/>
      <c r="C24" s="608">
        <v>251894.97</v>
      </c>
      <c r="D24" s="608">
        <v>250522.47</v>
      </c>
      <c r="E24" s="608">
        <v>250184.97</v>
      </c>
      <c r="F24" s="608">
        <v>250584.97</v>
      </c>
      <c r="G24" s="608">
        <v>253963.97</v>
      </c>
      <c r="H24" s="609">
        <v>252888.97</v>
      </c>
      <c r="I24" s="14">
        <f t="shared" si="8"/>
        <v>251673.38666666669</v>
      </c>
      <c r="J24" s="14">
        <f t="shared" si="9"/>
        <v>1510040.32</v>
      </c>
      <c r="L24" s="625" t="s">
        <v>310</v>
      </c>
      <c r="M24" s="171"/>
      <c r="N24" s="627"/>
      <c r="O24" s="627"/>
      <c r="P24" s="627"/>
      <c r="Q24" s="627"/>
      <c r="R24" s="627"/>
      <c r="S24" s="627"/>
      <c r="T24" s="171"/>
      <c r="U24" s="171"/>
      <c r="V24" s="171"/>
      <c r="W24" s="171"/>
      <c r="X24" s="171"/>
      <c r="Y24" s="233"/>
      <c r="Z24" s="233"/>
      <c r="AA24" s="233"/>
      <c r="AB24" s="233"/>
      <c r="AC24" s="233"/>
      <c r="AD24" s="233"/>
      <c r="AE24" s="171"/>
      <c r="AF24" s="171"/>
      <c r="AG24" s="233"/>
      <c r="AH24" s="233"/>
      <c r="AI24" s="233"/>
      <c r="AJ24" s="233"/>
      <c r="AK24" s="233"/>
      <c r="AL24" s="233"/>
    </row>
    <row r="25" spans="1:38" s="5" customFormat="1" x14ac:dyDescent="0.3">
      <c r="A25" s="303" t="s">
        <v>199</v>
      </c>
      <c r="B25" s="150" t="s">
        <v>86</v>
      </c>
      <c r="C25" s="23">
        <f t="shared" ref="C25:H25" si="11">SUM(C26:C34)</f>
        <v>20537115.184262138</v>
      </c>
      <c r="D25" s="23">
        <f t="shared" si="11"/>
        <v>20578455.462587494</v>
      </c>
      <c r="E25" s="23">
        <f t="shared" si="11"/>
        <v>20788805.482537419</v>
      </c>
      <c r="F25" s="23">
        <f t="shared" si="11"/>
        <v>20676620.046263508</v>
      </c>
      <c r="G25" s="23">
        <f t="shared" si="11"/>
        <v>20833604.773304366</v>
      </c>
      <c r="H25" s="178">
        <f t="shared" si="11"/>
        <v>20714073.273840409</v>
      </c>
      <c r="I25" s="24">
        <f t="shared" si="8"/>
        <v>20688112.370465893</v>
      </c>
      <c r="J25" s="24">
        <f t="shared" si="9"/>
        <v>124128674.22279535</v>
      </c>
      <c r="K25" s="613"/>
      <c r="L25" s="626"/>
      <c r="M25" s="628"/>
      <c r="N25" s="233"/>
      <c r="O25" s="233"/>
      <c r="P25" s="233"/>
      <c r="Q25" s="233"/>
      <c r="R25" s="233"/>
      <c r="S25" s="233"/>
      <c r="T25" s="171"/>
      <c r="U25" s="171"/>
      <c r="V25" s="171"/>
      <c r="W25" s="171"/>
      <c r="X25" s="171"/>
      <c r="Y25" s="233"/>
      <c r="Z25" s="233"/>
      <c r="AA25" s="233"/>
      <c r="AB25" s="233"/>
      <c r="AC25" s="233"/>
      <c r="AD25" s="233"/>
      <c r="AE25" s="171"/>
      <c r="AF25" s="171"/>
      <c r="AG25" s="233"/>
      <c r="AH25" s="233"/>
      <c r="AI25" s="233"/>
      <c r="AJ25" s="233"/>
      <c r="AK25" s="233"/>
      <c r="AL25" s="233"/>
    </row>
    <row r="26" spans="1:38" x14ac:dyDescent="0.3">
      <c r="A26" s="36" t="s">
        <v>3</v>
      </c>
      <c r="B26" s="555">
        <f>(I25-5600000)/($I$38-5600000)</f>
        <v>0.19948061041773574</v>
      </c>
      <c r="C26" s="608">
        <v>1944651.2303314297</v>
      </c>
      <c r="D26" s="608">
        <v>1838627.8703314299</v>
      </c>
      <c r="E26" s="608">
        <v>1933127.8703314299</v>
      </c>
      <c r="F26" s="608">
        <v>1835627.8703314299</v>
      </c>
      <c r="G26" s="608">
        <v>1898127.8703314299</v>
      </c>
      <c r="H26" s="609">
        <v>1836627.8703314299</v>
      </c>
      <c r="I26" s="14">
        <f t="shared" si="8"/>
        <v>1881131.7636647634</v>
      </c>
      <c r="J26" s="14">
        <f t="shared" si="9"/>
        <v>11286790.581988581</v>
      </c>
      <c r="L26" s="625" t="s">
        <v>318</v>
      </c>
      <c r="M26" s="171"/>
      <c r="N26" s="627"/>
      <c r="O26" s="627"/>
      <c r="P26" s="627"/>
      <c r="Q26" s="627"/>
      <c r="R26" s="627"/>
      <c r="S26" s="627"/>
      <c r="T26" s="627"/>
      <c r="U26" s="171"/>
      <c r="V26" s="171"/>
      <c r="W26" s="171"/>
      <c r="X26" s="171"/>
      <c r="Y26" s="233"/>
      <c r="Z26" s="233"/>
      <c r="AA26" s="233"/>
      <c r="AB26" s="233"/>
      <c r="AC26" s="233"/>
      <c r="AD26" s="233"/>
      <c r="AE26" s="171"/>
      <c r="AF26" s="171"/>
      <c r="AG26" s="233"/>
      <c r="AH26" s="233"/>
      <c r="AI26" s="233"/>
      <c r="AJ26" s="233"/>
      <c r="AK26" s="233"/>
      <c r="AL26" s="233"/>
    </row>
    <row r="27" spans="1:38" x14ac:dyDescent="0.3">
      <c r="A27" s="36" t="s">
        <v>290</v>
      </c>
      <c r="B27" s="12"/>
      <c r="C27" s="13">
        <v>771468.80000000005</v>
      </c>
      <c r="D27" s="13">
        <v>771468.80000000005</v>
      </c>
      <c r="E27" s="13">
        <v>771468.80000000005</v>
      </c>
      <c r="F27" s="13">
        <v>771468.80000000005</v>
      </c>
      <c r="G27" s="13">
        <v>771468.80000000005</v>
      </c>
      <c r="H27" s="157">
        <v>771468.80000000005</v>
      </c>
      <c r="I27" s="14">
        <f t="shared" si="8"/>
        <v>771468.79999999993</v>
      </c>
      <c r="J27" s="14">
        <f t="shared" si="9"/>
        <v>4628812.8</v>
      </c>
      <c r="L27" s="625" t="s">
        <v>318</v>
      </c>
      <c r="M27" s="171"/>
      <c r="N27" s="627"/>
      <c r="O27" s="627"/>
      <c r="P27" s="627"/>
      <c r="Q27" s="627"/>
      <c r="R27" s="627"/>
      <c r="S27" s="627"/>
      <c r="T27" s="171"/>
      <c r="U27" s="171"/>
      <c r="V27" s="171"/>
      <c r="W27" s="171"/>
      <c r="X27" s="171"/>
      <c r="Y27" s="233"/>
      <c r="Z27" s="233"/>
      <c r="AA27" s="233"/>
      <c r="AB27" s="233"/>
      <c r="AC27" s="233"/>
      <c r="AD27" s="233"/>
      <c r="AE27" s="171"/>
      <c r="AF27" s="171"/>
      <c r="AG27" s="233"/>
      <c r="AH27" s="233"/>
      <c r="AI27" s="233"/>
      <c r="AJ27" s="233"/>
      <c r="AK27" s="233"/>
      <c r="AL27" s="233"/>
    </row>
    <row r="28" spans="1:38" x14ac:dyDescent="0.3">
      <c r="A28" s="36" t="s">
        <v>166</v>
      </c>
      <c r="B28" s="12"/>
      <c r="C28" s="608">
        <v>9509512.7703556791</v>
      </c>
      <c r="D28" s="608">
        <v>9561507.8262372725</v>
      </c>
      <c r="E28" s="608">
        <v>9613816.5351633765</v>
      </c>
      <c r="F28" s="608">
        <v>9572624.2133414261</v>
      </c>
      <c r="G28" s="608">
        <v>9645271.5772105418</v>
      </c>
      <c r="H28" s="609">
        <v>9670390.8017358948</v>
      </c>
      <c r="I28" s="14">
        <f t="shared" si="8"/>
        <v>9595520.6206740309</v>
      </c>
      <c r="J28" s="14">
        <f t="shared" si="9"/>
        <v>57573123.724044189</v>
      </c>
      <c r="L28" s="625" t="s">
        <v>319</v>
      </c>
      <c r="M28" s="598"/>
      <c r="N28" s="540"/>
      <c r="O28" s="540"/>
      <c r="P28" s="540"/>
      <c r="Q28" s="540"/>
      <c r="R28" s="540"/>
      <c r="S28" s="540"/>
      <c r="T28" s="598"/>
      <c r="U28" s="171"/>
      <c r="V28" s="171"/>
      <c r="W28" s="171"/>
      <c r="X28" s="171"/>
      <c r="Y28" s="233"/>
      <c r="Z28" s="233"/>
      <c r="AA28" s="233"/>
      <c r="AB28" s="233"/>
      <c r="AC28" s="233"/>
      <c r="AD28" s="233"/>
      <c r="AE28" s="171"/>
      <c r="AF28" s="171"/>
      <c r="AG28" s="233"/>
      <c r="AH28" s="233"/>
      <c r="AI28" s="233"/>
      <c r="AJ28" s="233"/>
      <c r="AK28" s="233"/>
      <c r="AL28" s="233"/>
    </row>
    <row r="29" spans="1:38" x14ac:dyDescent="0.3">
      <c r="A29" s="36" t="s">
        <v>4</v>
      </c>
      <c r="B29" s="12"/>
      <c r="C29" s="608">
        <v>1801384.409662623</v>
      </c>
      <c r="D29" s="608">
        <v>1812107.6216370007</v>
      </c>
      <c r="E29" s="608">
        <v>1824728.5535480601</v>
      </c>
      <c r="F29" s="608">
        <v>1835326.9776631109</v>
      </c>
      <c r="G29" s="608">
        <v>1846264.5606552928</v>
      </c>
      <c r="H29" s="609">
        <v>1866482.8430245353</v>
      </c>
      <c r="I29" s="14">
        <f t="shared" si="8"/>
        <v>1831049.1610317705</v>
      </c>
      <c r="J29" s="14">
        <f t="shared" si="9"/>
        <v>10986294.966190623</v>
      </c>
      <c r="L29" s="625" t="s">
        <v>319</v>
      </c>
      <c r="M29" s="171"/>
      <c r="N29" s="627"/>
      <c r="O29" s="627"/>
      <c r="P29" s="627"/>
      <c r="Q29" s="627"/>
      <c r="R29" s="627"/>
      <c r="S29" s="627"/>
      <c r="T29" s="171"/>
      <c r="U29" s="171"/>
      <c r="V29" s="171"/>
      <c r="W29" s="171"/>
      <c r="X29" s="171"/>
      <c r="Y29" s="233"/>
      <c r="Z29" s="233"/>
      <c r="AA29" s="233"/>
      <c r="AB29" s="233"/>
      <c r="AC29" s="233"/>
      <c r="AD29" s="233"/>
      <c r="AE29" s="171"/>
      <c r="AF29" s="171"/>
      <c r="AG29" s="233"/>
      <c r="AH29" s="233"/>
      <c r="AI29" s="233"/>
      <c r="AJ29" s="233"/>
      <c r="AK29" s="233"/>
      <c r="AL29" s="233"/>
    </row>
    <row r="30" spans="1:38" x14ac:dyDescent="0.3">
      <c r="A30" s="36" t="s">
        <v>5</v>
      </c>
      <c r="B30" s="12"/>
      <c r="C30" s="608">
        <v>687322.20266350021</v>
      </c>
      <c r="D30" s="608">
        <v>690734.94103848003</v>
      </c>
      <c r="E30" s="608">
        <v>694804.62152457621</v>
      </c>
      <c r="F30" s="608">
        <v>698054.67117010395</v>
      </c>
      <c r="G30" s="608">
        <v>701635.6693153244</v>
      </c>
      <c r="H30" s="609">
        <v>707718.47671836591</v>
      </c>
      <c r="I30" s="14">
        <f t="shared" si="8"/>
        <v>696711.7637383918</v>
      </c>
      <c r="J30" s="14">
        <f t="shared" si="9"/>
        <v>4180270.5824303506</v>
      </c>
      <c r="L30" s="625" t="s">
        <v>318</v>
      </c>
      <c r="M30" s="171"/>
      <c r="N30" s="627"/>
      <c r="O30" s="627"/>
      <c r="P30" s="627"/>
      <c r="Q30" s="627"/>
      <c r="R30" s="627"/>
      <c r="S30" s="627"/>
      <c r="T30" s="171"/>
      <c r="U30" s="171"/>
      <c r="V30" s="171"/>
      <c r="W30" s="171"/>
      <c r="X30" s="171"/>
      <c r="Y30" s="233"/>
      <c r="Z30" s="233"/>
      <c r="AA30" s="233"/>
      <c r="AB30" s="233"/>
      <c r="AC30" s="233"/>
      <c r="AD30" s="233"/>
      <c r="AE30" s="171"/>
      <c r="AF30" s="171"/>
      <c r="AG30" s="233"/>
      <c r="AH30" s="233"/>
      <c r="AI30" s="233"/>
      <c r="AJ30" s="233"/>
      <c r="AK30" s="233"/>
      <c r="AL30" s="233"/>
    </row>
    <row r="31" spans="1:38" ht="12.25" customHeight="1" x14ac:dyDescent="0.3">
      <c r="A31" s="36" t="s">
        <v>176</v>
      </c>
      <c r="B31" s="12"/>
      <c r="C31" s="608">
        <v>184883.04444444444</v>
      </c>
      <c r="D31" s="608">
        <v>248353.44444444444</v>
      </c>
      <c r="E31" s="608">
        <v>291313.44444444444</v>
      </c>
      <c r="F31" s="608">
        <v>326313.44444444444</v>
      </c>
      <c r="G31" s="608">
        <v>347313.44444444444</v>
      </c>
      <c r="H31" s="609">
        <v>198413.84444444446</v>
      </c>
      <c r="I31" s="14">
        <f t="shared" si="8"/>
        <v>266098.44444444444</v>
      </c>
      <c r="J31" s="14">
        <f t="shared" si="9"/>
        <v>1596590.6666666667</v>
      </c>
      <c r="L31" s="625" t="s">
        <v>317</v>
      </c>
      <c r="M31" s="171"/>
      <c r="N31" s="627"/>
      <c r="O31" s="627"/>
      <c r="P31" s="627"/>
      <c r="Q31" s="627"/>
      <c r="R31" s="627"/>
      <c r="S31" s="627"/>
      <c r="T31" s="171"/>
      <c r="U31" s="171"/>
      <c r="V31" s="171"/>
      <c r="W31" s="171"/>
      <c r="X31" s="171"/>
      <c r="Y31" s="233"/>
      <c r="Z31" s="233"/>
      <c r="AA31" s="233"/>
      <c r="AB31" s="233"/>
      <c r="AC31" s="233"/>
      <c r="AD31" s="233"/>
      <c r="AE31" s="171"/>
      <c r="AF31" s="171"/>
      <c r="AG31" s="233"/>
      <c r="AH31" s="233"/>
      <c r="AI31" s="233"/>
      <c r="AJ31" s="233"/>
      <c r="AK31" s="233"/>
      <c r="AL31" s="233"/>
    </row>
    <row r="32" spans="1:38" ht="12.25" customHeight="1" x14ac:dyDescent="0.3">
      <c r="A32" s="36" t="s">
        <v>182</v>
      </c>
      <c r="B32" s="12"/>
      <c r="C32" s="608">
        <v>370000</v>
      </c>
      <c r="D32" s="608">
        <v>370000</v>
      </c>
      <c r="E32" s="608">
        <v>370000</v>
      </c>
      <c r="F32" s="608">
        <v>370000</v>
      </c>
      <c r="G32" s="608">
        <v>370000</v>
      </c>
      <c r="H32" s="609">
        <v>370000</v>
      </c>
      <c r="I32" s="14">
        <f t="shared" si="8"/>
        <v>370000</v>
      </c>
      <c r="J32" s="14">
        <f t="shared" si="9"/>
        <v>2220000</v>
      </c>
      <c r="L32" s="625"/>
      <c r="M32" s="171"/>
      <c r="N32" s="627"/>
      <c r="O32" s="627"/>
      <c r="P32" s="627"/>
      <c r="Q32" s="627"/>
      <c r="R32" s="627"/>
      <c r="S32" s="627"/>
      <c r="T32" s="171"/>
      <c r="U32" s="171"/>
      <c r="V32" s="171"/>
      <c r="W32" s="171"/>
      <c r="X32" s="171"/>
      <c r="Y32" s="233"/>
      <c r="Z32" s="233"/>
      <c r="AA32" s="233"/>
      <c r="AB32" s="233"/>
      <c r="AC32" s="233"/>
      <c r="AD32" s="233"/>
      <c r="AE32" s="171"/>
      <c r="AF32" s="171"/>
      <c r="AG32" s="233"/>
      <c r="AH32" s="233"/>
      <c r="AI32" s="233"/>
      <c r="AJ32" s="233"/>
      <c r="AK32" s="233"/>
      <c r="AL32" s="233"/>
    </row>
    <row r="33" spans="1:38" x14ac:dyDescent="0.3">
      <c r="A33" s="36" t="s">
        <v>6</v>
      </c>
      <c r="B33" s="12"/>
      <c r="C33" s="608">
        <v>3449916.221728466</v>
      </c>
      <c r="D33" s="608">
        <v>3459776.4741604072</v>
      </c>
      <c r="E33" s="608">
        <v>3454249.7693655244</v>
      </c>
      <c r="F33" s="608">
        <v>3424386.0743218274</v>
      </c>
      <c r="G33" s="608">
        <v>3402444.521931496</v>
      </c>
      <c r="H33" s="609">
        <v>3427819.7939422275</v>
      </c>
      <c r="I33" s="14">
        <f t="shared" si="8"/>
        <v>3436432.1425749916</v>
      </c>
      <c r="J33" s="14">
        <f t="shared" si="9"/>
        <v>20618592.855449948</v>
      </c>
      <c r="L33" s="625" t="s">
        <v>316</v>
      </c>
      <c r="M33" s="598"/>
      <c r="N33" s="627"/>
      <c r="O33" s="627"/>
      <c r="P33" s="627"/>
      <c r="Q33" s="627"/>
      <c r="R33" s="627"/>
      <c r="S33" s="627"/>
      <c r="T33" s="171"/>
      <c r="U33" s="171"/>
      <c r="V33" s="171"/>
      <c r="W33" s="171"/>
      <c r="X33" s="171"/>
      <c r="Y33" s="233"/>
      <c r="Z33" s="233"/>
      <c r="AA33" s="233"/>
      <c r="AB33" s="233"/>
      <c r="AC33" s="233"/>
      <c r="AD33" s="233"/>
      <c r="AE33" s="171"/>
      <c r="AF33" s="171"/>
      <c r="AG33" s="233"/>
      <c r="AH33" s="233"/>
      <c r="AI33" s="233"/>
      <c r="AJ33" s="233"/>
      <c r="AK33" s="233"/>
      <c r="AL33" s="233"/>
    </row>
    <row r="34" spans="1:38" x14ac:dyDescent="0.3">
      <c r="A34" s="36" t="s">
        <v>196</v>
      </c>
      <c r="B34" s="12"/>
      <c r="C34" s="608">
        <v>1817976.5050759991</v>
      </c>
      <c r="D34" s="608">
        <v>1825878.4847384586</v>
      </c>
      <c r="E34" s="608">
        <v>1835295.888160008</v>
      </c>
      <c r="F34" s="608">
        <v>1842817.9949911628</v>
      </c>
      <c r="G34" s="608">
        <v>1851078.3294158361</v>
      </c>
      <c r="H34" s="609">
        <v>1865150.8436435142</v>
      </c>
      <c r="I34" s="14">
        <f>IFERROR(AVERAGE(C34:H34),0)</f>
        <v>1839699.6743374963</v>
      </c>
      <c r="J34" s="14">
        <f t="shared" si="9"/>
        <v>11038198.046024978</v>
      </c>
      <c r="L34" s="625"/>
      <c r="M34" s="171"/>
      <c r="N34" s="627"/>
      <c r="O34" s="627"/>
      <c r="P34" s="627"/>
      <c r="Q34" s="627"/>
      <c r="R34" s="627"/>
      <c r="S34" s="627"/>
      <c r="T34" s="171"/>
      <c r="U34" s="171"/>
      <c r="V34" s="171"/>
      <c r="W34" s="171"/>
      <c r="X34" s="171"/>
      <c r="Y34" s="233"/>
      <c r="Z34" s="233"/>
      <c r="AA34" s="233"/>
      <c r="AB34" s="233"/>
      <c r="AC34" s="233"/>
      <c r="AD34" s="233"/>
      <c r="AE34" s="171"/>
      <c r="AF34" s="171"/>
      <c r="AG34" s="233"/>
      <c r="AH34" s="233"/>
      <c r="AI34" s="233"/>
      <c r="AJ34" s="233"/>
      <c r="AK34" s="233"/>
      <c r="AL34" s="233"/>
    </row>
    <row r="35" spans="1:38" s="5" customFormat="1" x14ac:dyDescent="0.3">
      <c r="A35" s="303" t="s">
        <v>200</v>
      </c>
      <c r="B35" s="150" t="s">
        <v>87</v>
      </c>
      <c r="C35" s="23">
        <f>SUM(C36:C37)</f>
        <v>31628312.372521952</v>
      </c>
      <c r="D35" s="23">
        <f t="shared" ref="D35:H35" si="12">SUM(D36:D37)</f>
        <v>31853219.723370511</v>
      </c>
      <c r="E35" s="23">
        <f t="shared" si="12"/>
        <v>32172166.03454842</v>
      </c>
      <c r="F35" s="23">
        <f t="shared" si="12"/>
        <v>32285750.198292721</v>
      </c>
      <c r="G35" s="23">
        <f t="shared" si="12"/>
        <v>32721027.687078185</v>
      </c>
      <c r="H35" s="178">
        <f t="shared" si="12"/>
        <v>32905979.984184597</v>
      </c>
      <c r="I35" s="24">
        <f t="shared" si="8"/>
        <v>32261075.999999393</v>
      </c>
      <c r="J35" s="24">
        <f t="shared" si="9"/>
        <v>193566455.99999636</v>
      </c>
      <c r="K35" s="613"/>
      <c r="L35" s="626" t="s">
        <v>321</v>
      </c>
      <c r="M35" s="628"/>
      <c r="N35" s="627"/>
      <c r="O35" s="627"/>
      <c r="P35" s="627"/>
      <c r="Q35" s="627"/>
      <c r="R35" s="627"/>
      <c r="S35" s="627"/>
      <c r="T35" s="171"/>
      <c r="U35" s="171"/>
      <c r="V35" s="171"/>
      <c r="W35" s="171"/>
      <c r="X35" s="171"/>
      <c r="Y35" s="233"/>
      <c r="Z35" s="233"/>
      <c r="AA35" s="233"/>
      <c r="AB35" s="233"/>
      <c r="AC35" s="233"/>
      <c r="AD35" s="233"/>
      <c r="AE35" s="171"/>
      <c r="AF35" s="171"/>
      <c r="AG35" s="233"/>
      <c r="AH35" s="233"/>
      <c r="AI35" s="233"/>
      <c r="AJ35" s="233"/>
      <c r="AK35" s="233"/>
      <c r="AL35" s="233"/>
    </row>
    <row r="36" spans="1:38" x14ac:dyDescent="0.3">
      <c r="A36" s="36" t="s">
        <v>391</v>
      </c>
      <c r="B36" s="553">
        <f>I35/($I$38-5600000)</f>
        <v>0.42652513284629839</v>
      </c>
      <c r="C36" s="608">
        <v>21495624.679157715</v>
      </c>
      <c r="D36" s="608">
        <v>21495624.679157715</v>
      </c>
      <c r="E36" s="608">
        <v>21495624.679157715</v>
      </c>
      <c r="F36" s="608">
        <v>21495624.679157715</v>
      </c>
      <c r="G36" s="608">
        <v>21495624.679157715</v>
      </c>
      <c r="H36" s="609">
        <v>21495624.679157715</v>
      </c>
      <c r="I36" s="14">
        <f t="shared" si="8"/>
        <v>21495624.679157715</v>
      </c>
      <c r="J36" s="14">
        <f t="shared" si="9"/>
        <v>128973748.0749463</v>
      </c>
      <c r="L36" s="624"/>
      <c r="M36" s="171"/>
      <c r="N36" s="627"/>
      <c r="O36" s="627"/>
      <c r="P36" s="627"/>
      <c r="Q36" s="627"/>
      <c r="R36" s="627"/>
      <c r="S36" s="627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 x14ac:dyDescent="0.3">
      <c r="A37" s="36" t="s">
        <v>393</v>
      </c>
      <c r="B37" s="12"/>
      <c r="C37" s="608">
        <v>10132687.693364235</v>
      </c>
      <c r="D37" s="608">
        <v>10357595.044212796</v>
      </c>
      <c r="E37" s="608">
        <v>10676541.355390705</v>
      </c>
      <c r="F37" s="608">
        <v>10790125.519135006</v>
      </c>
      <c r="G37" s="608">
        <v>11225403.007920468</v>
      </c>
      <c r="H37" s="609">
        <v>11410355.305026881</v>
      </c>
      <c r="I37" s="14">
        <f t="shared" si="8"/>
        <v>10765451.320841681</v>
      </c>
      <c r="J37" s="14">
        <f t="shared" si="9"/>
        <v>64592707.925050087</v>
      </c>
      <c r="L37" s="625"/>
      <c r="M37" s="171"/>
      <c r="N37" s="627"/>
      <c r="O37" s="627"/>
      <c r="P37" s="627"/>
      <c r="Q37" s="627"/>
      <c r="R37" s="627"/>
      <c r="S37" s="627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  <row r="38" spans="1:38" s="5" customFormat="1" x14ac:dyDescent="0.3">
      <c r="A38" s="96" t="s">
        <v>208</v>
      </c>
      <c r="B38" s="57"/>
      <c r="C38" s="19">
        <f t="shared" ref="C38:H38" si="13">C21+C25+C35</f>
        <v>80096749.466382086</v>
      </c>
      <c r="D38" s="19">
        <f t="shared" si="13"/>
        <v>80509775.896154165</v>
      </c>
      <c r="E38" s="19">
        <f t="shared" si="13"/>
        <v>81003545.904770032</v>
      </c>
      <c r="F38" s="19">
        <f t="shared" si="13"/>
        <v>81397574.52297014</v>
      </c>
      <c r="G38" s="19">
        <f t="shared" si="13"/>
        <v>81837764.273671746</v>
      </c>
      <c r="H38" s="35">
        <f t="shared" si="13"/>
        <v>82576512.945098743</v>
      </c>
      <c r="I38" s="20">
        <f t="shared" si="8"/>
        <v>81236987.16817449</v>
      </c>
      <c r="J38" s="35">
        <f t="shared" si="9"/>
        <v>487421923.00904691</v>
      </c>
      <c r="K38" s="6"/>
      <c r="L38" s="626"/>
      <c r="M38" s="629"/>
      <c r="N38" s="627"/>
      <c r="O38" s="627"/>
      <c r="P38" s="627"/>
      <c r="Q38" s="627"/>
      <c r="R38" s="627"/>
      <c r="S38" s="627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</row>
    <row r="39" spans="1:38" x14ac:dyDescent="0.3">
      <c r="B39" s="11"/>
      <c r="C39" s="11"/>
      <c r="D39" s="11"/>
      <c r="E39" s="11"/>
      <c r="F39" s="11"/>
      <c r="G39" s="11"/>
      <c r="H39" s="11"/>
      <c r="I39" s="11"/>
      <c r="J39" s="616"/>
      <c r="L39" s="1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233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</row>
    <row r="40" spans="1:38" x14ac:dyDescent="0.3">
      <c r="A40" s="304" t="s">
        <v>202</v>
      </c>
      <c r="B40" s="112"/>
      <c r="C40" s="575">
        <f>IFERROR(C34/C38,"-")</f>
        <v>2.2697256969698047E-2</v>
      </c>
      <c r="D40" s="575">
        <f t="shared" ref="D40:J40" si="14">IFERROR(D34/D38,"-")</f>
        <v>2.2678966180375099E-2</v>
      </c>
      <c r="E40" s="575">
        <f t="shared" si="14"/>
        <v>2.2656982082211952E-2</v>
      </c>
      <c r="F40" s="575">
        <f t="shared" si="14"/>
        <v>2.2639716303476897E-2</v>
      </c>
      <c r="G40" s="575">
        <f t="shared" si="14"/>
        <v>2.2618877065430192E-2</v>
      </c>
      <c r="H40" s="576">
        <f t="shared" si="14"/>
        <v>2.2586941215156007E-2</v>
      </c>
      <c r="I40" s="577">
        <f t="shared" si="14"/>
        <v>2.2646084480324246E-2</v>
      </c>
      <c r="J40" s="577">
        <f t="shared" si="14"/>
        <v>2.2646084480324249E-2</v>
      </c>
      <c r="K40" s="11"/>
      <c r="M40" s="171"/>
      <c r="N40" s="233"/>
      <c r="O40" s="233"/>
      <c r="P40" s="233"/>
      <c r="Q40" s="233"/>
      <c r="R40" s="233"/>
      <c r="S40" s="233"/>
      <c r="T40" s="171"/>
      <c r="U40" s="171"/>
      <c r="V40" s="171"/>
      <c r="W40" s="171"/>
      <c r="X40" s="171"/>
      <c r="Y40" s="171"/>
      <c r="Z40" s="233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</row>
    <row r="41" spans="1:38" x14ac:dyDescent="0.3">
      <c r="C41" s="13"/>
      <c r="D41" s="13"/>
      <c r="E41" s="13"/>
      <c r="F41" s="13"/>
      <c r="G41" s="13"/>
      <c r="H41" s="13"/>
      <c r="I41" s="564"/>
      <c r="J41" s="566"/>
      <c r="L41" s="579"/>
      <c r="M41" s="171"/>
      <c r="N41" s="233"/>
      <c r="O41" s="233"/>
      <c r="P41" s="233"/>
      <c r="Q41" s="233"/>
      <c r="R41" s="233"/>
      <c r="S41" s="233"/>
      <c r="T41" s="171"/>
      <c r="U41" s="171"/>
      <c r="V41" s="171"/>
      <c r="W41" s="171"/>
      <c r="X41" s="171"/>
      <c r="Y41" s="171"/>
      <c r="Z41" s="233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</row>
    <row r="42" spans="1:38" ht="27.65" hidden="1" customHeight="1" outlineLevel="1" x14ac:dyDescent="0.3">
      <c r="A42" s="668" t="s">
        <v>394</v>
      </c>
      <c r="B42" s="678" t="s">
        <v>0</v>
      </c>
      <c r="C42" s="590">
        <v>2024</v>
      </c>
      <c r="D42" s="590">
        <f>C42+1</f>
        <v>2025</v>
      </c>
      <c r="E42" s="590">
        <f t="shared" ref="E42:G42" si="15">D42+1</f>
        <v>2026</v>
      </c>
      <c r="F42" s="590">
        <f t="shared" si="15"/>
        <v>2027</v>
      </c>
      <c r="G42" s="590">
        <f t="shared" si="15"/>
        <v>2028</v>
      </c>
      <c r="H42" s="591">
        <f>G42+1</f>
        <v>2029</v>
      </c>
      <c r="I42" s="179" t="s">
        <v>271</v>
      </c>
      <c r="J42" s="4" t="s">
        <v>62</v>
      </c>
      <c r="L42" s="579"/>
      <c r="M42" s="171"/>
      <c r="N42" s="233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233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</row>
    <row r="43" spans="1:38" hidden="1" outlineLevel="1" x14ac:dyDescent="0.3">
      <c r="A43" s="669"/>
      <c r="B43" s="679"/>
      <c r="C43" s="77">
        <v>12</v>
      </c>
      <c r="D43" s="77">
        <v>12</v>
      </c>
      <c r="E43" s="77">
        <v>12</v>
      </c>
      <c r="F43" s="77">
        <v>12</v>
      </c>
      <c r="G43" s="77">
        <v>12</v>
      </c>
      <c r="H43" s="181">
        <v>12</v>
      </c>
      <c r="I43" s="78">
        <f>IFERROR(AVERAGE(C43:H43),0)</f>
        <v>12</v>
      </c>
      <c r="J43" s="78">
        <f>SUM(C43:H43)</f>
        <v>72</v>
      </c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233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</row>
    <row r="44" spans="1:38" hidden="1" outlineLevel="1" x14ac:dyDescent="0.3">
      <c r="A44" s="302" t="s">
        <v>395</v>
      </c>
      <c r="B44" s="8"/>
      <c r="C44" s="600">
        <f t="shared" ref="C44:H44" si="16">IFERROR(C14/(C38-C34),"-")</f>
        <v>6.7263408899350841E-2</v>
      </c>
      <c r="D44" s="600">
        <f t="shared" si="16"/>
        <v>7.0362050263138395E-2</v>
      </c>
      <c r="E44" s="600">
        <f t="shared" si="16"/>
        <v>7.1528475128586441E-2</v>
      </c>
      <c r="F44" s="600">
        <f t="shared" si="16"/>
        <v>7.250047798824763E-2</v>
      </c>
      <c r="G44" s="600">
        <f t="shared" si="16"/>
        <v>7.3071023185881809E-2</v>
      </c>
      <c r="H44" s="601">
        <f t="shared" si="16"/>
        <v>7.3226843030648123E-2</v>
      </c>
      <c r="I44" s="469">
        <f>IFERROR(AVERAGE(C44:H44),0)</f>
        <v>7.1325379749308873E-2</v>
      </c>
      <c r="J44" s="469">
        <f>SUM(C44:H44)</f>
        <v>0.42795227849585327</v>
      </c>
      <c r="K44" s="11"/>
      <c r="M44" s="233"/>
      <c r="N44" s="233"/>
      <c r="O44" s="233"/>
      <c r="P44" s="233"/>
      <c r="Q44" s="233"/>
      <c r="R44" s="233"/>
      <c r="S44" s="233"/>
      <c r="T44" s="171"/>
      <c r="U44" s="171"/>
      <c r="V44" s="171"/>
      <c r="W44" s="171"/>
      <c r="X44" s="171"/>
      <c r="Y44" s="171"/>
      <c r="Z44" s="233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</row>
    <row r="45" spans="1:38" hidden="1" outlineLevel="1" x14ac:dyDescent="0.3">
      <c r="A45" s="36" t="s">
        <v>396</v>
      </c>
      <c r="B45" s="12"/>
      <c r="C45" s="470">
        <f t="shared" ref="C45:H45" si="17">IFERROR(C14/C10,"-")</f>
        <v>0.33570770058956262</v>
      </c>
      <c r="D45" s="470">
        <f t="shared" si="17"/>
        <v>0.33696837825265319</v>
      </c>
      <c r="E45" s="470">
        <f t="shared" si="17"/>
        <v>0.33722104500318573</v>
      </c>
      <c r="F45" s="470">
        <f t="shared" si="17"/>
        <v>0.33610995570872793</v>
      </c>
      <c r="G45" s="470">
        <f t="shared" si="17"/>
        <v>0.3351752658389423</v>
      </c>
      <c r="H45" s="399">
        <f t="shared" si="17"/>
        <v>0.33400567346257831</v>
      </c>
      <c r="I45" s="471">
        <f>IFERROR(AVERAGE(C45:H45),0)</f>
        <v>0.33586466980927504</v>
      </c>
      <c r="J45" s="471">
        <f>SUM(C45:H45)</f>
        <v>2.0151880188556501</v>
      </c>
      <c r="K45" s="11"/>
      <c r="M45" s="233"/>
      <c r="N45" s="233"/>
      <c r="O45" s="233"/>
      <c r="P45" s="233"/>
      <c r="Q45" s="233"/>
      <c r="R45" s="233"/>
      <c r="S45" s="233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</row>
    <row r="46" spans="1:38" hidden="1" outlineLevel="1" x14ac:dyDescent="0.3">
      <c r="A46" s="36" t="s">
        <v>398</v>
      </c>
      <c r="B46" s="12"/>
      <c r="C46" s="470">
        <f t="shared" ref="C46:H46" si="18">IFERROR((C38-C34)/C10,"-")</f>
        <v>4.9909409303340038</v>
      </c>
      <c r="D46" s="470">
        <f t="shared" si="18"/>
        <v>4.7890642326718238</v>
      </c>
      <c r="E46" s="470">
        <f t="shared" si="18"/>
        <v>4.7145006851741895</v>
      </c>
      <c r="F46" s="470">
        <f t="shared" si="18"/>
        <v>4.6359688244153583</v>
      </c>
      <c r="G46" s="470">
        <f t="shared" si="18"/>
        <v>4.586979232332717</v>
      </c>
      <c r="H46" s="399">
        <f t="shared" si="18"/>
        <v>4.5612463905180869</v>
      </c>
      <c r="I46" s="471">
        <f>IFERROR(AVERAGE(C46:H46),0)</f>
        <v>4.7131167159076961</v>
      </c>
      <c r="J46" s="471">
        <f>SUM(C46:H46)</f>
        <v>28.278700295446178</v>
      </c>
      <c r="K46" s="11"/>
      <c r="M46" s="233"/>
      <c r="N46" s="233"/>
      <c r="O46" s="233"/>
      <c r="P46" s="233"/>
      <c r="Q46" s="233"/>
      <c r="R46" s="233"/>
      <c r="S46" s="233"/>
      <c r="T46" s="171"/>
      <c r="U46" s="171"/>
      <c r="V46" s="171"/>
      <c r="W46" s="171"/>
      <c r="X46" s="171"/>
      <c r="Y46" s="171"/>
      <c r="Z46" s="602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</row>
    <row r="47" spans="1:38" hidden="1" outlineLevel="1" x14ac:dyDescent="0.3">
      <c r="A47" s="36" t="s">
        <v>478</v>
      </c>
      <c r="B47" s="12"/>
      <c r="C47" s="470">
        <v>0.34305731652614441</v>
      </c>
      <c r="D47" s="470">
        <v>0.36071828086135233</v>
      </c>
      <c r="E47" s="470">
        <v>0.36895535247163336</v>
      </c>
      <c r="F47" s="470">
        <v>0.37579484994398005</v>
      </c>
      <c r="G47" s="470">
        <v>0.38080855387670259</v>
      </c>
      <c r="H47" s="399">
        <v>0.38507807403323213</v>
      </c>
      <c r="I47" s="471">
        <f t="shared" ref="I47:I53" si="19">IFERROR(AVERAGE(C47:H47),0)</f>
        <v>0.36906873795217415</v>
      </c>
      <c r="J47" s="471">
        <f t="shared" ref="J47:J53" si="20">SUM(C47:H47)</f>
        <v>2.2144124277130448</v>
      </c>
      <c r="K47" s="11"/>
      <c r="M47" s="233"/>
      <c r="N47" s="233"/>
      <c r="O47" s="233"/>
      <c r="P47" s="233"/>
      <c r="Q47" s="233"/>
      <c r="R47" s="233"/>
      <c r="S47" s="233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</row>
    <row r="48" spans="1:38" hidden="1" outlineLevel="1" x14ac:dyDescent="0.3">
      <c r="A48" s="36" t="s">
        <v>479</v>
      </c>
      <c r="B48" s="12"/>
      <c r="C48" s="470">
        <v>0.3869313409642921</v>
      </c>
      <c r="D48" s="470">
        <v>0.40685098786802965</v>
      </c>
      <c r="E48" s="470">
        <v>0.41614150875258293</v>
      </c>
      <c r="F48" s="470">
        <v>0.42385571801444921</v>
      </c>
      <c r="G48" s="470">
        <v>0.42951063074311696</v>
      </c>
      <c r="H48" s="399">
        <v>0.43432618511219029</v>
      </c>
      <c r="I48" s="471">
        <f>IFERROR(AVERAGE(C48:H48),0)</f>
        <v>0.41626939524244361</v>
      </c>
      <c r="J48" s="471">
        <f>SUM(C48:H48)</f>
        <v>2.4976163714546615</v>
      </c>
      <c r="K48" s="11"/>
      <c r="M48" s="233"/>
      <c r="N48" s="233"/>
      <c r="O48" s="233"/>
      <c r="P48" s="233"/>
      <c r="Q48" s="233"/>
      <c r="R48" s="233"/>
      <c r="S48" s="233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</row>
    <row r="49" spans="1:38" hidden="1" outlineLevel="1" x14ac:dyDescent="0.3">
      <c r="A49" s="36" t="s">
        <v>472</v>
      </c>
      <c r="B49" s="12"/>
      <c r="C49" s="470">
        <v>1.0157957021768769</v>
      </c>
      <c r="D49" s="470">
        <v>1.0577719444450391</v>
      </c>
      <c r="E49" s="470">
        <v>1.0747762106813006</v>
      </c>
      <c r="F49" s="470">
        <v>1.0918828093210435</v>
      </c>
      <c r="G49" s="470">
        <v>1.1030631849982344</v>
      </c>
      <c r="H49" s="399">
        <v>1.1128343794849926</v>
      </c>
      <c r="I49" s="471">
        <f>IFERROR(AVERAGE(C49:H49),0)</f>
        <v>1.0760207051845809</v>
      </c>
      <c r="J49" s="471">
        <f>SUM(C49:H49)</f>
        <v>6.456124231107486</v>
      </c>
      <c r="K49" s="11"/>
      <c r="M49" s="233"/>
      <c r="N49" s="233"/>
      <c r="O49" s="233"/>
      <c r="P49" s="233"/>
      <c r="Q49" s="233"/>
      <c r="R49" s="233"/>
      <c r="S49" s="233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</row>
    <row r="50" spans="1:38" hidden="1" outlineLevel="1" x14ac:dyDescent="0.3">
      <c r="A50" s="36" t="s">
        <v>477</v>
      </c>
      <c r="B50" s="12"/>
      <c r="C50" s="470">
        <v>1.1457070706699528</v>
      </c>
      <c r="D50" s="470">
        <v>1.1930517064699711</v>
      </c>
      <c r="E50" s="470">
        <v>1.2122306693428098</v>
      </c>
      <c r="F50" s="470">
        <v>1.231525052036756</v>
      </c>
      <c r="G50" s="470">
        <v>1.2441352997850512</v>
      </c>
      <c r="H50" s="399">
        <v>1.2551561444178636</v>
      </c>
      <c r="I50" s="471">
        <f>IFERROR(AVERAGE(C50:H50),0)</f>
        <v>1.2136343237870675</v>
      </c>
      <c r="J50" s="471">
        <f>SUM(C50:H50)</f>
        <v>7.2818059427224044</v>
      </c>
      <c r="K50" s="11"/>
      <c r="M50" s="603"/>
      <c r="N50" s="630"/>
      <c r="O50" s="630"/>
      <c r="P50" s="630"/>
      <c r="Q50" s="630"/>
      <c r="R50" s="630"/>
      <c r="S50" s="630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</row>
    <row r="51" spans="1:38" hidden="1" outlineLevel="1" x14ac:dyDescent="0.3">
      <c r="A51" s="36" t="s">
        <v>471</v>
      </c>
      <c r="B51" s="12"/>
      <c r="C51" s="470">
        <v>5.1595209050294706</v>
      </c>
      <c r="D51" s="470">
        <v>5.1884003934640273</v>
      </c>
      <c r="E51" s="470">
        <v>5.2136056931484829</v>
      </c>
      <c r="F51" s="470">
        <v>5.2380493863793012</v>
      </c>
      <c r="G51" s="470">
        <v>5.2645188150183939</v>
      </c>
      <c r="H51" s="399">
        <v>5.3161544983298681</v>
      </c>
      <c r="I51" s="471">
        <f t="shared" si="19"/>
        <v>5.2300416152282576</v>
      </c>
      <c r="J51" s="471">
        <f t="shared" si="20"/>
        <v>31.380249691369546</v>
      </c>
      <c r="K51" s="11"/>
      <c r="M51" s="233"/>
      <c r="N51" s="233"/>
      <c r="O51" s="233"/>
      <c r="P51" s="233"/>
      <c r="Q51" s="233"/>
      <c r="R51" s="233"/>
      <c r="S51" s="233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</row>
    <row r="52" spans="1:38" hidden="1" outlineLevel="1" x14ac:dyDescent="0.3">
      <c r="A52" s="36" t="s">
        <v>432</v>
      </c>
      <c r="B52" s="12"/>
      <c r="C52" s="470">
        <v>5.2972537004643385</v>
      </c>
      <c r="D52" s="470">
        <v>5.3212353347896073</v>
      </c>
      <c r="E52" s="470">
        <v>5.3285141205794861</v>
      </c>
      <c r="F52" s="470">
        <v>5.3573579977786991</v>
      </c>
      <c r="G52" s="470">
        <v>5.3538341185299787</v>
      </c>
      <c r="H52" s="399">
        <v>5.4208851620407144</v>
      </c>
      <c r="I52" s="471">
        <f t="shared" si="19"/>
        <v>5.3465134056971371</v>
      </c>
      <c r="J52" s="471">
        <f t="shared" si="20"/>
        <v>32.079080434182821</v>
      </c>
      <c r="K52" s="11"/>
      <c r="M52" s="233"/>
      <c r="N52" s="233"/>
      <c r="O52" s="233"/>
      <c r="P52" s="233"/>
      <c r="Q52" s="233"/>
      <c r="R52" s="233"/>
      <c r="S52" s="233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</row>
    <row r="53" spans="1:38" hidden="1" outlineLevel="1" x14ac:dyDescent="0.3">
      <c r="A53" s="36" t="s">
        <v>473</v>
      </c>
      <c r="B53" s="12"/>
      <c r="C53" s="470">
        <v>4.9619748330763578</v>
      </c>
      <c r="D53" s="470">
        <v>4.9978791686958868</v>
      </c>
      <c r="E53" s="470">
        <v>5.048795936680289</v>
      </c>
      <c r="F53" s="470">
        <v>5.0669285762794498</v>
      </c>
      <c r="G53" s="470">
        <v>5.1364165186966924</v>
      </c>
      <c r="H53" s="399">
        <v>5.1659424071296733</v>
      </c>
      <c r="I53" s="471">
        <f t="shared" si="19"/>
        <v>5.0629895734263917</v>
      </c>
      <c r="J53" s="471">
        <f t="shared" si="20"/>
        <v>30.377937440558348</v>
      </c>
      <c r="K53" s="11"/>
      <c r="M53" s="233"/>
      <c r="N53" s="623"/>
      <c r="O53" s="623"/>
      <c r="P53" s="623"/>
      <c r="Q53" s="623"/>
      <c r="R53" s="623"/>
      <c r="S53" s="623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</row>
    <row r="54" spans="1:38" hidden="1" outlineLevel="1" x14ac:dyDescent="0.3">
      <c r="A54" s="36" t="s">
        <v>474</v>
      </c>
      <c r="B54" s="12"/>
      <c r="C54" s="470">
        <v>5.8193784138814797</v>
      </c>
      <c r="D54" s="470">
        <v>5.8519513358045554</v>
      </c>
      <c r="E54" s="470">
        <v>5.8803801724347453</v>
      </c>
      <c r="F54" s="470">
        <v>5.9079499998201337</v>
      </c>
      <c r="G54" s="470">
        <v>5.9378046364202026</v>
      </c>
      <c r="H54" s="399">
        <v>5.9960440711235101</v>
      </c>
      <c r="I54" s="471">
        <f>IFERROR(AVERAGE(C54:H54),0)</f>
        <v>5.8989181049141051</v>
      </c>
      <c r="J54" s="471">
        <f>SUM(C54:H54)</f>
        <v>35.393508629484629</v>
      </c>
      <c r="K54" s="11"/>
      <c r="M54" s="233"/>
      <c r="N54" s="233"/>
      <c r="O54" s="233"/>
      <c r="P54" s="233"/>
      <c r="Q54" s="233"/>
      <c r="R54" s="233"/>
      <c r="S54" s="233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</row>
    <row r="55" spans="1:38" hidden="1" outlineLevel="1" x14ac:dyDescent="0.3">
      <c r="A55" s="36" t="s">
        <v>475</v>
      </c>
      <c r="B55" s="12"/>
      <c r="C55" s="470">
        <v>6.5596366866990943</v>
      </c>
      <c r="D55" s="470">
        <v>6.5893333592056891</v>
      </c>
      <c r="E55" s="470">
        <v>6.5983467448205282</v>
      </c>
      <c r="F55" s="470">
        <v>6.6340643762124349</v>
      </c>
      <c r="G55" s="470">
        <v>6.6297007249873907</v>
      </c>
      <c r="H55" s="399">
        <v>6.7127306325139866</v>
      </c>
      <c r="I55" s="471">
        <f>IFERROR(AVERAGE(C55:H55),0)</f>
        <v>6.6206354207398546</v>
      </c>
      <c r="J55" s="471">
        <f>SUM(C55:H55)</f>
        <v>39.723812524439126</v>
      </c>
      <c r="K55" s="11"/>
      <c r="M55" s="233"/>
      <c r="N55" s="233"/>
      <c r="O55" s="233"/>
      <c r="P55" s="233"/>
      <c r="Q55" s="233"/>
      <c r="R55" s="233"/>
      <c r="S55" s="233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</row>
    <row r="56" spans="1:38" hidden="1" outlineLevel="1" x14ac:dyDescent="0.3">
      <c r="A56" s="59" t="s">
        <v>476</v>
      </c>
      <c r="B56" s="15"/>
      <c r="C56" s="477">
        <v>4.9619748330763578</v>
      </c>
      <c r="D56" s="472">
        <v>4.9978791686958868</v>
      </c>
      <c r="E56" s="472">
        <v>5.048795936680289</v>
      </c>
      <c r="F56" s="472">
        <v>5.0669285762794498</v>
      </c>
      <c r="G56" s="472">
        <v>5.1364165186966924</v>
      </c>
      <c r="H56" s="473">
        <v>5.1659424071296733</v>
      </c>
      <c r="I56" s="474">
        <f t="shared" ref="I56" si="21">IFERROR(AVERAGE(C56:H56),0)</f>
        <v>5.0629895734263917</v>
      </c>
      <c r="J56" s="474">
        <f t="shared" ref="J56" si="22">SUM(C56:H56)</f>
        <v>30.377937440558348</v>
      </c>
      <c r="K56" s="11"/>
      <c r="M56" s="233"/>
      <c r="N56" s="233"/>
      <c r="O56" s="233"/>
      <c r="P56" s="233"/>
      <c r="Q56" s="233"/>
      <c r="R56" s="233"/>
      <c r="S56" s="233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</row>
    <row r="57" spans="1:38" hidden="1" outlineLevel="1" x14ac:dyDescent="0.3">
      <c r="M57" s="171"/>
      <c r="N57" s="233"/>
      <c r="O57" s="233"/>
      <c r="P57" s="233"/>
      <c r="Q57" s="233"/>
      <c r="R57" s="233"/>
      <c r="S57" s="233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</row>
    <row r="58" spans="1:38" collapsed="1" x14ac:dyDescent="0.3">
      <c r="A58" s="171"/>
      <c r="B58" s="631"/>
      <c r="C58" s="632"/>
      <c r="D58" s="632"/>
      <c r="E58" s="632"/>
      <c r="F58" s="632"/>
      <c r="G58" s="632"/>
      <c r="H58" s="632"/>
      <c r="I58" s="632"/>
      <c r="J58" s="632"/>
      <c r="K58" s="171"/>
      <c r="L58" s="171"/>
    </row>
    <row r="59" spans="1:38" x14ac:dyDescent="0.3">
      <c r="A59" s="171"/>
      <c r="B59" s="631"/>
      <c r="C59" s="632"/>
      <c r="D59" s="632"/>
      <c r="E59" s="632"/>
      <c r="F59" s="632"/>
      <c r="G59" s="632"/>
      <c r="H59" s="632"/>
      <c r="I59" s="632"/>
      <c r="J59" s="632"/>
      <c r="K59" s="171"/>
      <c r="L59" s="171"/>
    </row>
    <row r="60" spans="1:38" x14ac:dyDescent="0.3">
      <c r="A60" s="171"/>
      <c r="B60" s="631"/>
      <c r="C60" s="632"/>
      <c r="D60" s="632"/>
      <c r="E60" s="632"/>
      <c r="F60" s="632"/>
      <c r="G60" s="632"/>
      <c r="H60" s="632"/>
      <c r="I60" s="632"/>
      <c r="J60" s="632"/>
      <c r="K60" s="171"/>
      <c r="L60" s="171"/>
    </row>
    <row r="61" spans="1:38" x14ac:dyDescent="0.3">
      <c r="A61" s="171"/>
      <c r="B61" s="631"/>
      <c r="C61" s="632"/>
      <c r="D61" s="632"/>
      <c r="E61" s="632"/>
      <c r="F61" s="632"/>
      <c r="G61" s="632"/>
      <c r="H61" s="632"/>
      <c r="I61" s="632"/>
      <c r="J61" s="632"/>
      <c r="K61" s="171"/>
      <c r="L61" s="171"/>
    </row>
    <row r="62" spans="1:38" x14ac:dyDescent="0.3">
      <c r="A62" s="171"/>
      <c r="B62" s="631"/>
      <c r="C62" s="632"/>
      <c r="D62" s="632"/>
      <c r="E62" s="632"/>
      <c r="F62" s="632"/>
      <c r="G62" s="632"/>
      <c r="H62" s="632"/>
      <c r="I62" s="632"/>
      <c r="J62" s="632"/>
      <c r="K62" s="171"/>
      <c r="L62" s="171"/>
    </row>
  </sheetData>
  <mergeCells count="12">
    <mergeCell ref="A1:J1"/>
    <mergeCell ref="A3:A4"/>
    <mergeCell ref="B3:B4"/>
    <mergeCell ref="L3:L4"/>
    <mergeCell ref="A12:A13"/>
    <mergeCell ref="B12:B13"/>
    <mergeCell ref="L12:L13"/>
    <mergeCell ref="A19:A20"/>
    <mergeCell ref="B19:B20"/>
    <mergeCell ref="L19:L20"/>
    <mergeCell ref="A42:A43"/>
    <mergeCell ref="B42:B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&amp;L&amp;F&amp;R&amp;A</oddHeader>
    <oddFooter>&amp;L&amp;D&amp;C&amp;P/&amp;N&amp;R&amp;T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964C-BDF0-4496-86DC-14E132C4EBAA}">
  <sheetPr codeName="Sheet43">
    <tabColor theme="4"/>
    <pageSetUpPr fitToPage="1"/>
  </sheetPr>
  <dimension ref="A1:AG40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outlineLevelRow="1" x14ac:dyDescent="0.3"/>
  <cols>
    <col min="1" max="1" width="30.54296875" style="2" customWidth="1"/>
    <col min="2" max="2" width="26.453125" style="17" customWidth="1"/>
    <col min="3" max="8" width="12.453125" style="28" bestFit="1" customWidth="1"/>
    <col min="9" max="9" width="10.453125" style="28" bestFit="1" customWidth="1"/>
    <col min="10" max="10" width="10.81640625" style="28" bestFit="1" customWidth="1"/>
    <col min="11" max="11" width="3.54296875" style="2" customWidth="1"/>
    <col min="12" max="12" width="27.453125" style="2" customWidth="1"/>
    <col min="13" max="19" width="11.26953125" style="2" customWidth="1"/>
    <col min="20" max="21" width="4.54296875" style="2" customWidth="1"/>
    <col min="22" max="25" width="5.1796875" style="2" customWidth="1"/>
    <col min="26" max="26" width="11.26953125" style="2"/>
    <col min="27" max="33" width="11.453125" style="2" customWidth="1"/>
    <col min="34" max="16384" width="11.26953125" style="2"/>
  </cols>
  <sheetData>
    <row r="1" spans="1:12" ht="30" customHeight="1" x14ac:dyDescent="0.35">
      <c r="A1" s="680" t="s">
        <v>545</v>
      </c>
      <c r="B1" s="681"/>
      <c r="C1" s="681"/>
      <c r="D1" s="681"/>
      <c r="E1" s="681"/>
      <c r="F1" s="681"/>
      <c r="G1" s="681"/>
      <c r="H1" s="681"/>
      <c r="I1" s="681"/>
      <c r="J1" s="682"/>
      <c r="L1"/>
    </row>
    <row r="2" spans="1:12" ht="14.5" outlineLevel="1" x14ac:dyDescent="0.35">
      <c r="L2"/>
    </row>
    <row r="3" spans="1:12" ht="27.65" customHeight="1" outlineLevel="1" x14ac:dyDescent="0.35">
      <c r="A3" s="668" t="s">
        <v>375</v>
      </c>
      <c r="B3" s="678" t="s">
        <v>0</v>
      </c>
      <c r="C3" s="3">
        <v>2024</v>
      </c>
      <c r="D3" s="3">
        <f>C3+1</f>
        <v>2025</v>
      </c>
      <c r="E3" s="3">
        <f t="shared" ref="E3:G3" si="0">D3+1</f>
        <v>2026</v>
      </c>
      <c r="F3" s="3">
        <f t="shared" si="0"/>
        <v>2027</v>
      </c>
      <c r="G3" s="3">
        <f t="shared" si="0"/>
        <v>2028</v>
      </c>
      <c r="H3" s="120">
        <f>G3+1</f>
        <v>2029</v>
      </c>
      <c r="I3" s="179" t="s">
        <v>271</v>
      </c>
      <c r="J3" s="4" t="s">
        <v>62</v>
      </c>
      <c r="L3"/>
    </row>
    <row r="4" spans="1:12" ht="14.5" outlineLevel="1" x14ac:dyDescent="0.35">
      <c r="A4" s="669"/>
      <c r="B4" s="679"/>
      <c r="C4" s="77">
        <v>12</v>
      </c>
      <c r="D4" s="77">
        <v>12</v>
      </c>
      <c r="E4" s="77">
        <v>12</v>
      </c>
      <c r="F4" s="77">
        <v>12</v>
      </c>
      <c r="G4" s="77">
        <v>12</v>
      </c>
      <c r="H4" s="181">
        <v>12</v>
      </c>
      <c r="I4" s="78">
        <f t="shared" ref="I4:I9" si="1">IFERROR(AVERAGE(C4:H4),0)</f>
        <v>12</v>
      </c>
      <c r="J4" s="78">
        <f t="shared" ref="J4:J8" si="2">SUM(C4:H4)</f>
        <v>72</v>
      </c>
      <c r="L4"/>
    </row>
    <row r="5" spans="1:12" ht="14.5" outlineLevel="1" x14ac:dyDescent="0.35">
      <c r="A5" s="302" t="s">
        <v>356</v>
      </c>
      <c r="B5" s="8"/>
      <c r="C5" s="249">
        <f>'2. CEP offre de base'!C5-CEP_OFINT2!C5</f>
        <v>0</v>
      </c>
      <c r="D5" s="249">
        <f>'2. CEP offre de base'!D5-CEP_OFINT2!D5</f>
        <v>0</v>
      </c>
      <c r="E5" s="249">
        <f>'2. CEP offre de base'!E5-CEP_OFINT2!E5</f>
        <v>0</v>
      </c>
      <c r="F5" s="249">
        <f>'2. CEP offre de base'!F5-CEP_OFINT2!F5</f>
        <v>0</v>
      </c>
      <c r="G5" s="249">
        <f>'2. CEP offre de base'!G5-CEP_OFINT2!G5</f>
        <v>0</v>
      </c>
      <c r="H5" s="605">
        <f>'2. CEP offre de base'!H5-CEP_OFINT2!H5</f>
        <v>0</v>
      </c>
      <c r="I5" s="10">
        <f t="shared" si="1"/>
        <v>0</v>
      </c>
      <c r="J5" s="10">
        <f t="shared" si="2"/>
        <v>0</v>
      </c>
      <c r="K5" s="11"/>
      <c r="L5"/>
    </row>
    <row r="6" spans="1:12" ht="14.5" outlineLevel="1" x14ac:dyDescent="0.35">
      <c r="A6" s="36" t="s">
        <v>332</v>
      </c>
      <c r="B6" s="12"/>
      <c r="C6" s="250">
        <f>'2. CEP offre de base'!C6-CEP_OFINT2!C6</f>
        <v>0</v>
      </c>
      <c r="D6" s="250">
        <f>'2. CEP offre de base'!D6-CEP_OFINT2!D6</f>
        <v>0</v>
      </c>
      <c r="E6" s="250">
        <f>'2. CEP offre de base'!E6-CEP_OFINT2!E6</f>
        <v>0</v>
      </c>
      <c r="F6" s="250">
        <f>'2. CEP offre de base'!F6-CEP_OFINT2!F6</f>
        <v>0</v>
      </c>
      <c r="G6" s="250">
        <f>'2. CEP offre de base'!G6-CEP_OFINT2!G6</f>
        <v>0</v>
      </c>
      <c r="H6" s="604">
        <f>'2. CEP offre de base'!H6-CEP_OFINT2!H6</f>
        <v>0</v>
      </c>
      <c r="I6" s="14">
        <f t="shared" si="1"/>
        <v>0</v>
      </c>
      <c r="J6" s="14">
        <f t="shared" si="2"/>
        <v>0</v>
      </c>
      <c r="K6" s="11"/>
      <c r="L6"/>
    </row>
    <row r="7" spans="1:12" ht="14.5" outlineLevel="1" x14ac:dyDescent="0.35">
      <c r="A7" s="36" t="s">
        <v>463</v>
      </c>
      <c r="B7" s="12"/>
      <c r="C7" s="250">
        <f>'2. CEP offre de base'!C7-CEP_OFINT2!C7</f>
        <v>0</v>
      </c>
      <c r="D7" s="250">
        <f>'2. CEP offre de base'!D7-CEP_OFINT2!D7</f>
        <v>0</v>
      </c>
      <c r="E7" s="250">
        <f>'2. CEP offre de base'!E7-CEP_OFINT2!E7</f>
        <v>0</v>
      </c>
      <c r="F7" s="250">
        <f>'2. CEP offre de base'!F7-CEP_OFINT2!F7</f>
        <v>0</v>
      </c>
      <c r="G7" s="250">
        <f>'2. CEP offre de base'!G7-CEP_OFINT2!G7</f>
        <v>0</v>
      </c>
      <c r="H7" s="604">
        <f>'2. CEP offre de base'!H7-CEP_OFINT2!H7</f>
        <v>0</v>
      </c>
      <c r="I7" s="14">
        <f t="shared" si="1"/>
        <v>0</v>
      </c>
      <c r="J7" s="14">
        <f t="shared" si="2"/>
        <v>0</v>
      </c>
      <c r="K7" s="11"/>
      <c r="L7"/>
    </row>
    <row r="8" spans="1:12" ht="14.5" outlineLevel="1" x14ac:dyDescent="0.35">
      <c r="A8" s="36" t="s">
        <v>360</v>
      </c>
      <c r="B8" s="12"/>
      <c r="C8" s="250">
        <f>'2. CEP offre de base'!C8-CEP_OFINT2!C8</f>
        <v>0</v>
      </c>
      <c r="D8" s="250">
        <f>'2. CEP offre de base'!D8-CEP_OFINT2!D8</f>
        <v>0</v>
      </c>
      <c r="E8" s="250">
        <f>'2. CEP offre de base'!E8-CEP_OFINT2!E8</f>
        <v>0</v>
      </c>
      <c r="F8" s="250">
        <f>'2. CEP offre de base'!F8-CEP_OFINT2!F8</f>
        <v>0</v>
      </c>
      <c r="G8" s="250">
        <f>'2. CEP offre de base'!G8-CEP_OFINT2!G8</f>
        <v>0</v>
      </c>
      <c r="H8" s="604">
        <f>'2. CEP offre de base'!H8-CEP_OFINT2!H8</f>
        <v>0</v>
      </c>
      <c r="I8" s="14">
        <f t="shared" si="1"/>
        <v>0</v>
      </c>
      <c r="J8" s="14">
        <f t="shared" si="2"/>
        <v>0</v>
      </c>
      <c r="K8" s="11"/>
      <c r="L8"/>
    </row>
    <row r="9" spans="1:12" ht="14.5" outlineLevel="1" x14ac:dyDescent="0.35">
      <c r="A9" s="36" t="s">
        <v>532</v>
      </c>
      <c r="B9" s="12"/>
      <c r="C9" s="250">
        <f>'2. CEP offre de base'!C9-CEP_OFINT2!C9</f>
        <v>0</v>
      </c>
      <c r="D9" s="250">
        <f>'2. CEP offre de base'!D9-CEP_OFINT2!D9</f>
        <v>0</v>
      </c>
      <c r="E9" s="250">
        <f>'2. CEP offre de base'!E9-CEP_OFINT2!E9</f>
        <v>0</v>
      </c>
      <c r="F9" s="250">
        <f>'2. CEP offre de base'!F9-CEP_OFINT2!F9</f>
        <v>0</v>
      </c>
      <c r="G9" s="250">
        <f>'2. CEP offre de base'!G9-CEP_OFINT2!G9</f>
        <v>0</v>
      </c>
      <c r="H9" s="604">
        <f>'2. CEP offre de base'!H9-CEP_OFINT2!H9</f>
        <v>0</v>
      </c>
      <c r="I9" s="14">
        <f t="shared" si="1"/>
        <v>0</v>
      </c>
      <c r="J9" s="14">
        <f>SUM(C9:H9)</f>
        <v>0</v>
      </c>
      <c r="K9" s="11"/>
      <c r="L9"/>
    </row>
    <row r="10" spans="1:12" s="5" customFormat="1" ht="14.5" outlineLevel="1" x14ac:dyDescent="0.35">
      <c r="A10" s="96" t="s">
        <v>372</v>
      </c>
      <c r="B10" s="57" t="s">
        <v>336</v>
      </c>
      <c r="C10" s="19">
        <f>SUM(C5:C9)</f>
        <v>0</v>
      </c>
      <c r="D10" s="19">
        <f t="shared" ref="D10:H10" si="3">SUM(D5:D9)</f>
        <v>0</v>
      </c>
      <c r="E10" s="19">
        <f t="shared" si="3"/>
        <v>0</v>
      </c>
      <c r="F10" s="19">
        <f t="shared" si="3"/>
        <v>0</v>
      </c>
      <c r="G10" s="19">
        <f t="shared" si="3"/>
        <v>0</v>
      </c>
      <c r="H10" s="35">
        <f t="shared" si="3"/>
        <v>0</v>
      </c>
      <c r="I10" s="20">
        <f>IFERROR(AVERAGE(C10:H10),0)</f>
        <v>0</v>
      </c>
      <c r="J10" s="20">
        <f>SUM(C10:H10)</f>
        <v>0</v>
      </c>
      <c r="K10" s="6"/>
      <c r="L10"/>
    </row>
    <row r="11" spans="1:12" ht="14.5" outlineLevel="1" x14ac:dyDescent="0.35">
      <c r="C11" s="13"/>
      <c r="D11" s="13"/>
      <c r="E11" s="13"/>
      <c r="F11" s="13"/>
      <c r="G11" s="13"/>
      <c r="H11" s="13"/>
      <c r="I11" s="13"/>
      <c r="J11" s="13"/>
      <c r="L11"/>
    </row>
    <row r="12" spans="1:12" ht="27.65" customHeight="1" outlineLevel="1" x14ac:dyDescent="0.35">
      <c r="A12" s="668" t="s">
        <v>201</v>
      </c>
      <c r="B12" s="678" t="s">
        <v>0</v>
      </c>
      <c r="C12" s="3">
        <f>Annee</f>
        <v>2024</v>
      </c>
      <c r="D12" s="3">
        <f>C12+1</f>
        <v>2025</v>
      </c>
      <c r="E12" s="3">
        <f t="shared" ref="E12:G12" si="4">D12+1</f>
        <v>2026</v>
      </c>
      <c r="F12" s="3">
        <f t="shared" si="4"/>
        <v>2027</v>
      </c>
      <c r="G12" s="3">
        <f t="shared" si="4"/>
        <v>2028</v>
      </c>
      <c r="H12" s="120">
        <f>G12+1</f>
        <v>2029</v>
      </c>
      <c r="I12" s="179" t="s">
        <v>271</v>
      </c>
      <c r="J12" s="4" t="s">
        <v>62</v>
      </c>
      <c r="L12"/>
    </row>
    <row r="13" spans="1:12" ht="14.5" outlineLevel="1" x14ac:dyDescent="0.35">
      <c r="A13" s="669"/>
      <c r="B13" s="679"/>
      <c r="C13" s="77">
        <v>12</v>
      </c>
      <c r="D13" s="77">
        <v>12</v>
      </c>
      <c r="E13" s="77">
        <v>12</v>
      </c>
      <c r="F13" s="77">
        <v>12</v>
      </c>
      <c r="G13" s="77">
        <v>12</v>
      </c>
      <c r="H13" s="181">
        <v>12</v>
      </c>
      <c r="I13" s="78">
        <f>IFERROR(AVERAGE(C13:H13),0)</f>
        <v>12</v>
      </c>
      <c r="J13" s="78">
        <f t="shared" ref="J13:J17" si="5">SUM(C13:H13)</f>
        <v>72</v>
      </c>
      <c r="L13"/>
    </row>
    <row r="14" spans="1:12" ht="14.5" outlineLevel="1" x14ac:dyDescent="0.35">
      <c r="A14" s="302" t="s">
        <v>66</v>
      </c>
      <c r="B14" s="8"/>
      <c r="C14" s="250">
        <f>'2. CEP offre de base'!C14-CEP_OFINT2!C14</f>
        <v>0</v>
      </c>
      <c r="D14" s="250">
        <f>'2. CEP offre de base'!D14-CEP_OFINT2!D14</f>
        <v>0</v>
      </c>
      <c r="E14" s="250">
        <f>'2. CEP offre de base'!E14-CEP_OFINT2!E14</f>
        <v>0</v>
      </c>
      <c r="F14" s="250">
        <f>'2. CEP offre de base'!F14-CEP_OFINT2!F14</f>
        <v>0</v>
      </c>
      <c r="G14" s="250">
        <f>'2. CEP offre de base'!G14-CEP_OFINT2!G14</f>
        <v>0</v>
      </c>
      <c r="H14" s="604">
        <f>'2. CEP offre de base'!H14-CEP_OFINT2!H14</f>
        <v>0</v>
      </c>
      <c r="I14" s="10">
        <f>IFERROR(AVERAGE(C14:H14),0)</f>
        <v>0</v>
      </c>
      <c r="J14" s="10">
        <f t="shared" si="5"/>
        <v>0</v>
      </c>
      <c r="K14" s="11"/>
      <c r="L14"/>
    </row>
    <row r="15" spans="1:12" ht="14.5" outlineLevel="1" x14ac:dyDescent="0.35">
      <c r="A15" s="36" t="s">
        <v>334</v>
      </c>
      <c r="B15" s="12"/>
      <c r="C15" s="250">
        <f>'2. CEP offre de base'!C15-CEP_OFINT2!C15</f>
        <v>0</v>
      </c>
      <c r="D15" s="250">
        <f>'2. CEP offre de base'!D15-CEP_OFINT2!D15</f>
        <v>0</v>
      </c>
      <c r="E15" s="250">
        <f>'2. CEP offre de base'!E15-CEP_OFINT2!E15</f>
        <v>0</v>
      </c>
      <c r="F15" s="250">
        <f>'2. CEP offre de base'!F15-CEP_OFINT2!F15</f>
        <v>0</v>
      </c>
      <c r="G15" s="250">
        <f>'2. CEP offre de base'!G15-CEP_OFINT2!G15</f>
        <v>0</v>
      </c>
      <c r="H15" s="604">
        <f>'2. CEP offre de base'!H15-CEP_OFINT2!H15</f>
        <v>0</v>
      </c>
      <c r="I15" s="14">
        <f>IFERROR(AVERAGE(C15:H15),0)</f>
        <v>0</v>
      </c>
      <c r="J15" s="14">
        <f t="shared" si="5"/>
        <v>0</v>
      </c>
      <c r="K15" s="11"/>
      <c r="L15"/>
    </row>
    <row r="16" spans="1:12" ht="14.5" outlineLevel="1" x14ac:dyDescent="0.35">
      <c r="A16" s="59" t="s">
        <v>67</v>
      </c>
      <c r="B16" s="15"/>
      <c r="C16" s="250">
        <f>'2. CEP offre de base'!C16-CEP_OFINT2!C16</f>
        <v>0</v>
      </c>
      <c r="D16" s="250">
        <f>'2. CEP offre de base'!D16-CEP_OFINT2!D16</f>
        <v>0</v>
      </c>
      <c r="E16" s="250">
        <f>'2. CEP offre de base'!E16-CEP_OFINT2!E16</f>
        <v>0</v>
      </c>
      <c r="F16" s="250">
        <f>'2. CEP offre de base'!F16-CEP_OFINT2!F16</f>
        <v>0</v>
      </c>
      <c r="G16" s="250">
        <f>'2. CEP offre de base'!G16-CEP_OFINT2!G16</f>
        <v>0</v>
      </c>
      <c r="H16" s="604">
        <f>'2. CEP offre de base'!H16-CEP_OFINT2!H16</f>
        <v>0</v>
      </c>
      <c r="I16" s="16">
        <f>IFERROR(AVERAGE(C16:H16),0)</f>
        <v>0</v>
      </c>
      <c r="J16" s="16">
        <f t="shared" si="5"/>
        <v>0</v>
      </c>
      <c r="K16" s="11"/>
      <c r="L16"/>
    </row>
    <row r="17" spans="1:33" s="5" customFormat="1" ht="14.5" outlineLevel="1" x14ac:dyDescent="0.35">
      <c r="A17" s="96" t="s">
        <v>207</v>
      </c>
      <c r="B17" s="57" t="s">
        <v>336</v>
      </c>
      <c r="C17" s="19">
        <f>SUM(C14:C16)</f>
        <v>0</v>
      </c>
      <c r="D17" s="19">
        <f t="shared" ref="D17:H17" si="6">SUM(D14:D16)</f>
        <v>0</v>
      </c>
      <c r="E17" s="19">
        <f t="shared" si="6"/>
        <v>0</v>
      </c>
      <c r="F17" s="19">
        <f t="shared" si="6"/>
        <v>0</v>
      </c>
      <c r="G17" s="19">
        <f t="shared" si="6"/>
        <v>0</v>
      </c>
      <c r="H17" s="35">
        <f t="shared" si="6"/>
        <v>0</v>
      </c>
      <c r="I17" s="20">
        <f>IFERROR(AVERAGE(C17:H17),0)</f>
        <v>0</v>
      </c>
      <c r="J17" s="20">
        <f t="shared" si="5"/>
        <v>0</v>
      </c>
      <c r="K17" s="6"/>
      <c r="L17"/>
    </row>
    <row r="18" spans="1:33" x14ac:dyDescent="0.3">
      <c r="B18" s="2"/>
      <c r="C18" s="2"/>
      <c r="D18" s="2"/>
      <c r="E18" s="2"/>
      <c r="F18" s="2"/>
      <c r="G18" s="2"/>
      <c r="H18" s="2"/>
      <c r="I18" s="2"/>
      <c r="J18" s="2"/>
    </row>
    <row r="19" spans="1:33" ht="27.65" customHeight="1" x14ac:dyDescent="0.3">
      <c r="A19" s="668" t="s">
        <v>198</v>
      </c>
      <c r="B19" s="678" t="s">
        <v>0</v>
      </c>
      <c r="C19" s="3">
        <f>Annee</f>
        <v>2024</v>
      </c>
      <c r="D19" s="3">
        <f>C19+1</f>
        <v>2025</v>
      </c>
      <c r="E19" s="3">
        <f t="shared" ref="E19:G19" si="7">D19+1</f>
        <v>2026</v>
      </c>
      <c r="F19" s="3">
        <f t="shared" si="7"/>
        <v>2027</v>
      </c>
      <c r="G19" s="3">
        <f t="shared" si="7"/>
        <v>2028</v>
      </c>
      <c r="H19" s="120">
        <f>G19+1</f>
        <v>2029</v>
      </c>
      <c r="I19" s="179" t="s">
        <v>271</v>
      </c>
      <c r="J19" s="4" t="s">
        <v>62</v>
      </c>
    </row>
    <row r="20" spans="1:33" x14ac:dyDescent="0.3">
      <c r="A20" s="669"/>
      <c r="B20" s="679"/>
      <c r="C20" s="77">
        <v>12</v>
      </c>
      <c r="D20" s="77">
        <v>12</v>
      </c>
      <c r="E20" s="77">
        <v>12</v>
      </c>
      <c r="F20" s="77">
        <v>12</v>
      </c>
      <c r="G20" s="77">
        <v>12</v>
      </c>
      <c r="H20" s="181">
        <v>12</v>
      </c>
      <c r="I20" s="78">
        <f t="shared" ref="I20:I33" si="8">IFERROR(AVERAGE(C20:H20),0)</f>
        <v>12</v>
      </c>
      <c r="J20" s="78">
        <f t="shared" ref="J20:J38" si="9">SUM(C20:H20)</f>
        <v>72</v>
      </c>
    </row>
    <row r="21" spans="1:33" s="5" customFormat="1" x14ac:dyDescent="0.3">
      <c r="A21" s="303" t="s">
        <v>197</v>
      </c>
      <c r="B21" s="150" t="s">
        <v>168</v>
      </c>
      <c r="C21" s="110">
        <f>SUM(C22:C24)</f>
        <v>-59527.424051489681</v>
      </c>
      <c r="D21" s="110">
        <f t="shared" ref="D21:H21" si="10">SUM(D22:D24)</f>
        <v>-59804.508263420314</v>
      </c>
      <c r="E21" s="110">
        <f t="shared" si="10"/>
        <v>-60329.300926154479</v>
      </c>
      <c r="F21" s="110">
        <f t="shared" si="10"/>
        <v>-79428.321117123589</v>
      </c>
      <c r="G21" s="110">
        <f t="shared" si="10"/>
        <v>-61691.340379038826</v>
      </c>
      <c r="H21" s="184">
        <f t="shared" si="10"/>
        <v>-62940.528079725802</v>
      </c>
      <c r="I21" s="24">
        <f t="shared" si="8"/>
        <v>-63953.570469492115</v>
      </c>
      <c r="J21" s="24">
        <f t="shared" si="9"/>
        <v>-383721.42281695269</v>
      </c>
      <c r="K21" s="2"/>
      <c r="L21" s="2"/>
      <c r="M21" s="2"/>
      <c r="N21" s="2"/>
      <c r="O21" s="2"/>
      <c r="P21" s="2"/>
      <c r="Q21" s="2"/>
      <c r="R21" s="2"/>
      <c r="S21" s="2"/>
    </row>
    <row r="22" spans="1:33" x14ac:dyDescent="0.3">
      <c r="A22" s="36" t="s">
        <v>1</v>
      </c>
      <c r="B22" s="554">
        <f>I21/($I$38-5600000)</f>
        <v>1.1057759891438024E-2</v>
      </c>
      <c r="C22" s="250">
        <f>'2. CEP offre de base'!C22-CEP_OFINT2!C22</f>
        <v>-9439.5270121507347</v>
      </c>
      <c r="D22" s="250">
        <f>'2. CEP offre de base'!D22-CEP_OFINT2!D22</f>
        <v>-9532.0825784653425</v>
      </c>
      <c r="E22" s="250">
        <f>'2. CEP offre de base'!E22-CEP_OFINT2!E22</f>
        <v>-9692.8469950314611</v>
      </c>
      <c r="F22" s="250">
        <f>'2. CEP offre de base'!F22-CEP_OFINT2!F22</f>
        <v>-28475.815065128729</v>
      </c>
      <c r="G22" s="250">
        <f>'2. CEP offre de base'!G22-CEP_OFINT2!G22</f>
        <v>-10549.808915397152</v>
      </c>
      <c r="H22" s="604">
        <f>'2. CEP offre de base'!H22-CEP_OFINT2!H22</f>
        <v>-11410.630094084889</v>
      </c>
      <c r="I22" s="14">
        <f t="shared" si="8"/>
        <v>-13183.451776709719</v>
      </c>
      <c r="J22" s="14">
        <f t="shared" si="9"/>
        <v>-79100.710660258308</v>
      </c>
    </row>
    <row r="23" spans="1:33" x14ac:dyDescent="0.3">
      <c r="A23" s="36" t="s">
        <v>392</v>
      </c>
      <c r="B23" s="12"/>
      <c r="C23" s="250">
        <f>'2. CEP offre de base'!C23-CEP_OFINT2!C23</f>
        <v>-50087.897039338946</v>
      </c>
      <c r="D23" s="250">
        <f>'2. CEP offre de base'!D23-CEP_OFINT2!D23</f>
        <v>-50272.425684954971</v>
      </c>
      <c r="E23" s="250">
        <f>'2. CEP offre de base'!E23-CEP_OFINT2!E23</f>
        <v>-50636.453931123018</v>
      </c>
      <c r="F23" s="250">
        <f>'2. CEP offre de base'!F23-CEP_OFINT2!F23</f>
        <v>-50952.50605199486</v>
      </c>
      <c r="G23" s="250">
        <f>'2. CEP offre de base'!G23-CEP_OFINT2!G23</f>
        <v>-51141.531463641673</v>
      </c>
      <c r="H23" s="604">
        <f>'2. CEP offre de base'!H23-CEP_OFINT2!H23</f>
        <v>-51529.897985640913</v>
      </c>
      <c r="I23" s="14">
        <f t="shared" si="8"/>
        <v>-50770.118692782395</v>
      </c>
      <c r="J23" s="14">
        <f t="shared" si="9"/>
        <v>-304620.71215669438</v>
      </c>
    </row>
    <row r="24" spans="1:33" x14ac:dyDescent="0.3">
      <c r="A24" s="36" t="s">
        <v>2</v>
      </c>
      <c r="B24" s="12"/>
      <c r="C24" s="250">
        <f>'2. CEP offre de base'!C24-CEP_OFINT2!C24</f>
        <v>0</v>
      </c>
      <c r="D24" s="250">
        <f>'2. CEP offre de base'!D24-CEP_OFINT2!D24</f>
        <v>0</v>
      </c>
      <c r="E24" s="250">
        <f>'2. CEP offre de base'!E24-CEP_OFINT2!E24</f>
        <v>0</v>
      </c>
      <c r="F24" s="250">
        <f>'2. CEP offre de base'!F24-CEP_OFINT2!F24</f>
        <v>0</v>
      </c>
      <c r="G24" s="250">
        <f>'2. CEP offre de base'!G24-CEP_OFINT2!G24</f>
        <v>0</v>
      </c>
      <c r="H24" s="604">
        <f>'2. CEP offre de base'!H24-CEP_OFINT2!H24</f>
        <v>0</v>
      </c>
      <c r="I24" s="14">
        <f t="shared" si="8"/>
        <v>0</v>
      </c>
      <c r="J24" s="14">
        <f t="shared" si="9"/>
        <v>0</v>
      </c>
    </row>
    <row r="25" spans="1:33" s="5" customFormat="1" x14ac:dyDescent="0.3">
      <c r="A25" s="303" t="s">
        <v>199</v>
      </c>
      <c r="B25" s="150" t="s">
        <v>86</v>
      </c>
      <c r="C25" s="23">
        <f t="shared" ref="C25:H25" si="11">SUM(C26:C34)</f>
        <v>-206849.86559421301</v>
      </c>
      <c r="D25" s="23">
        <f t="shared" si="11"/>
        <v>-154169.6306646812</v>
      </c>
      <c r="E25" s="23">
        <f t="shared" si="11"/>
        <v>-178018.7923856366</v>
      </c>
      <c r="F25" s="23">
        <f t="shared" si="11"/>
        <v>-176091.70659579406</v>
      </c>
      <c r="G25" s="23">
        <f t="shared" si="11"/>
        <v>-175673.90785080206</v>
      </c>
      <c r="H25" s="178">
        <f t="shared" si="11"/>
        <v>-176786.55514464132</v>
      </c>
      <c r="I25" s="24">
        <f t="shared" si="8"/>
        <v>-177931.7430392947</v>
      </c>
      <c r="J25" s="24">
        <f t="shared" si="9"/>
        <v>-1067590.4582357681</v>
      </c>
      <c r="K25" s="2"/>
      <c r="L25" s="2"/>
      <c r="M25" s="2"/>
      <c r="N25" s="2"/>
      <c r="O25" s="2"/>
      <c r="P25" s="2"/>
      <c r="Q25" s="2"/>
      <c r="R25" s="2"/>
      <c r="S25" s="2"/>
    </row>
    <row r="26" spans="1:33" x14ac:dyDescent="0.3">
      <c r="A26" s="36" t="s">
        <v>3</v>
      </c>
      <c r="B26" s="555">
        <f>(I25-5600000)/($I$38-5600000)</f>
        <v>0.99902134336853854</v>
      </c>
      <c r="C26" s="250">
        <f>'2. CEP offre de base'!C26-CEP_OFINT2!C26</f>
        <v>-65250</v>
      </c>
      <c r="D26" s="250">
        <f>'2. CEP offre de base'!D26-CEP_OFINT2!D26</f>
        <v>-14750</v>
      </c>
      <c r="E26" s="250">
        <f>'2. CEP offre de base'!E26-CEP_OFINT2!E26</f>
        <v>-40000</v>
      </c>
      <c r="F26" s="250">
        <f>'2. CEP offre de base'!F26-CEP_OFINT2!F26</f>
        <v>-40000</v>
      </c>
      <c r="G26" s="250">
        <f>'2. CEP offre de base'!G26-CEP_OFINT2!G26</f>
        <v>-40000</v>
      </c>
      <c r="H26" s="604">
        <f>'2. CEP offre de base'!H26-CEP_OFINT2!H26</f>
        <v>-40000</v>
      </c>
      <c r="I26" s="14">
        <f t="shared" si="8"/>
        <v>-40000</v>
      </c>
      <c r="J26" s="14">
        <f t="shared" si="9"/>
        <v>-240000</v>
      </c>
      <c r="Z26" s="543"/>
      <c r="AA26" s="11"/>
      <c r="AB26" s="11"/>
      <c r="AC26" s="11"/>
      <c r="AD26" s="11"/>
      <c r="AE26" s="11"/>
      <c r="AF26" s="11"/>
    </row>
    <row r="27" spans="1:33" x14ac:dyDescent="0.3">
      <c r="A27" s="36" t="s">
        <v>290</v>
      </c>
      <c r="B27" s="12"/>
      <c r="C27" s="250">
        <f>'2. CEP offre de base'!C27-CEP_OFINT2!C27</f>
        <v>0</v>
      </c>
      <c r="D27" s="250">
        <f>'2. CEP offre de base'!D27-CEP_OFINT2!D27</f>
        <v>0</v>
      </c>
      <c r="E27" s="250">
        <f>'2. CEP offre de base'!E27-CEP_OFINT2!E27</f>
        <v>0</v>
      </c>
      <c r="F27" s="250">
        <f>'2. CEP offre de base'!F27-CEP_OFINT2!F27</f>
        <v>0</v>
      </c>
      <c r="G27" s="250">
        <f>'2. CEP offre de base'!G27-CEP_OFINT2!G27</f>
        <v>0</v>
      </c>
      <c r="H27" s="604">
        <f>'2. CEP offre de base'!H27-CEP_OFINT2!H27</f>
        <v>0</v>
      </c>
      <c r="I27" s="14">
        <f t="shared" si="8"/>
        <v>0</v>
      </c>
      <c r="J27" s="14">
        <f t="shared" si="9"/>
        <v>0</v>
      </c>
      <c r="Z27" s="543"/>
      <c r="AA27" s="11"/>
      <c r="AB27" s="11"/>
      <c r="AC27" s="11"/>
      <c r="AD27" s="11"/>
      <c r="AE27" s="11"/>
      <c r="AF27" s="11"/>
    </row>
    <row r="28" spans="1:33" x14ac:dyDescent="0.3">
      <c r="A28" s="36" t="s">
        <v>166</v>
      </c>
      <c r="B28" s="12"/>
      <c r="C28" s="250">
        <f>'2. CEP offre de base'!C28-CEP_OFINT2!C28</f>
        <v>-18007.915323769674</v>
      </c>
      <c r="D28" s="250">
        <f>'2. CEP offre de base'!D28-CEP_OFINT2!D28</f>
        <v>-17986.842726238072</v>
      </c>
      <c r="E28" s="250">
        <f>'2. CEP offre de base'!E28-CEP_OFINT2!E28</f>
        <v>-18039.505673056468</v>
      </c>
      <c r="F28" s="250">
        <f>'2. CEP offre de base'!F28-CEP_OFINT2!F28</f>
        <v>-18041.913598092273</v>
      </c>
      <c r="G28" s="250">
        <f>'2. CEP offre de base'!G28-CEP_OFINT2!G28</f>
        <v>-18023.426960078999</v>
      </c>
      <c r="H28" s="604">
        <f>'2. CEP offre de base'!H28-CEP_OFINT2!H28</f>
        <v>-18083.515608375892</v>
      </c>
      <c r="I28" s="14">
        <f t="shared" si="8"/>
        <v>-18030.519981601898</v>
      </c>
      <c r="J28" s="14">
        <f t="shared" si="9"/>
        <v>-108183.11988961138</v>
      </c>
    </row>
    <row r="29" spans="1:33" x14ac:dyDescent="0.3">
      <c r="A29" s="36" t="s">
        <v>4</v>
      </c>
      <c r="B29" s="12"/>
      <c r="C29" s="250">
        <f>'2. CEP offre de base'!C29-CEP_OFINT2!C29</f>
        <v>-5230.8590000525583</v>
      </c>
      <c r="D29" s="250">
        <f>'2. CEP offre de base'!D29-CEP_OFINT2!D29</f>
        <v>-3910.5570734732319</v>
      </c>
      <c r="E29" s="250">
        <f>'2. CEP offre de base'!E29-CEP_OFINT2!E29</f>
        <v>-4505.4082355725113</v>
      </c>
      <c r="F29" s="250">
        <f>'2. CEP offre de base'!F29-CEP_OFINT2!F29</f>
        <v>-4929.5436299592257</v>
      </c>
      <c r="G29" s="250">
        <f>'2. CEP offre de base'!G29-CEP_OFINT2!G29</f>
        <v>-4455.8886142938863</v>
      </c>
      <c r="H29" s="604">
        <f>'2. CEP offre de base'!H29-CEP_OFINT2!H29</f>
        <v>-4506.5274865990505</v>
      </c>
      <c r="I29" s="14">
        <f t="shared" si="8"/>
        <v>-4589.7973399917437</v>
      </c>
      <c r="J29" s="14">
        <f t="shared" si="9"/>
        <v>-27538.784039950464</v>
      </c>
    </row>
    <row r="30" spans="1:33" x14ac:dyDescent="0.3">
      <c r="A30" s="36" t="s">
        <v>5</v>
      </c>
      <c r="B30" s="12"/>
      <c r="C30" s="250">
        <f>'2. CEP offre de base'!C30-CEP_OFINT2!C30</f>
        <v>-28237.84573752142</v>
      </c>
      <c r="D30" s="250">
        <f>'2. CEP offre de base'!D30-CEP_OFINT2!D30</f>
        <v>-27958.497140424675</v>
      </c>
      <c r="E30" s="250">
        <f>'2. CEP offre de base'!E30-CEP_OFINT2!E30</f>
        <v>-28310.03504249244</v>
      </c>
      <c r="F30" s="250">
        <f>'2. CEP offre de base'!F30-CEP_OFINT2!F30</f>
        <v>-28574.617378008785</v>
      </c>
      <c r="G30" s="250">
        <f>'2. CEP offre de base'!G30-CEP_OFINT2!G30</f>
        <v>-28571.337837551604</v>
      </c>
      <c r="H30" s="604">
        <f>'2. CEP offre de base'!H30-CEP_OFINT2!H30</f>
        <v>-28832.536490309983</v>
      </c>
      <c r="I30" s="14">
        <f t="shared" si="8"/>
        <v>-28414.144937718153</v>
      </c>
      <c r="J30" s="14">
        <f t="shared" si="9"/>
        <v>-170484.86962630891</v>
      </c>
      <c r="AA30" s="11"/>
      <c r="AB30" s="11"/>
      <c r="AC30" s="11"/>
      <c r="AD30" s="11"/>
      <c r="AE30" s="11"/>
      <c r="AF30" s="11"/>
    </row>
    <row r="31" spans="1:33" x14ac:dyDescent="0.3">
      <c r="A31" s="36" t="s">
        <v>176</v>
      </c>
      <c r="B31" s="12"/>
      <c r="C31" s="250">
        <f>'2. CEP offre de base'!C31-CEP_OFINT2!C31</f>
        <v>0</v>
      </c>
      <c r="D31" s="250">
        <f>'2. CEP offre de base'!D31-CEP_OFINT2!D31</f>
        <v>0</v>
      </c>
      <c r="E31" s="250">
        <f>'2. CEP offre de base'!E31-CEP_OFINT2!E31</f>
        <v>3300</v>
      </c>
      <c r="F31" s="250">
        <f>'2. CEP offre de base'!F31-CEP_OFINT2!F31</f>
        <v>6600</v>
      </c>
      <c r="G31" s="250">
        <f>'2. CEP offre de base'!G31-CEP_OFINT2!G31</f>
        <v>6600</v>
      </c>
      <c r="H31" s="604">
        <f>'2. CEP offre de base'!H31-CEP_OFINT2!H31</f>
        <v>6600</v>
      </c>
      <c r="I31" s="14">
        <f t="shared" si="8"/>
        <v>3850</v>
      </c>
      <c r="J31" s="14">
        <f t="shared" si="9"/>
        <v>23100</v>
      </c>
      <c r="AA31" s="11"/>
      <c r="AB31" s="11"/>
      <c r="AC31" s="11"/>
      <c r="AD31" s="11"/>
      <c r="AE31" s="11"/>
      <c r="AF31" s="11"/>
      <c r="AG31" s="11"/>
    </row>
    <row r="32" spans="1:33" x14ac:dyDescent="0.3">
      <c r="A32" s="36" t="s">
        <v>182</v>
      </c>
      <c r="B32" s="12"/>
      <c r="C32" s="250">
        <f>'2. CEP offre de base'!C32-CEP_OFINT2!C32</f>
        <v>0</v>
      </c>
      <c r="D32" s="250">
        <f>'2. CEP offre de base'!D32-CEP_OFINT2!D32</f>
        <v>0</v>
      </c>
      <c r="E32" s="250">
        <f>'2. CEP offre de base'!E32-CEP_OFINT2!E32</f>
        <v>0</v>
      </c>
      <c r="F32" s="250">
        <f>'2. CEP offre de base'!F32-CEP_OFINT2!F32</f>
        <v>0</v>
      </c>
      <c r="G32" s="250">
        <f>'2. CEP offre de base'!G32-CEP_OFINT2!G32</f>
        <v>0</v>
      </c>
      <c r="H32" s="604">
        <f>'2. CEP offre de base'!H32-CEP_OFINT2!H32</f>
        <v>0</v>
      </c>
      <c r="I32" s="14">
        <f t="shared" si="8"/>
        <v>0</v>
      </c>
      <c r="J32" s="14">
        <f t="shared" si="9"/>
        <v>0</v>
      </c>
    </row>
    <row r="33" spans="1:19" x14ac:dyDescent="0.3">
      <c r="A33" s="36" t="s">
        <v>6</v>
      </c>
      <c r="B33" s="12"/>
      <c r="C33" s="250">
        <f>'2. CEP offre de base'!C33-CEP_OFINT2!C33</f>
        <v>-9999.9999999995343</v>
      </c>
      <c r="D33" s="250">
        <f>'2. CEP offre de base'!D33-CEP_OFINT2!D33</f>
        <v>-10000</v>
      </c>
      <c r="E33" s="250">
        <f>'2. CEP offre de base'!E33-CEP_OFINT2!E33</f>
        <v>-10000</v>
      </c>
      <c r="F33" s="250">
        <f>'2. CEP offre de base'!F33-CEP_OFINT2!F33</f>
        <v>-10000</v>
      </c>
      <c r="G33" s="250">
        <f>'2. CEP offre de base'!G33-CEP_OFINT2!G33</f>
        <v>-10000</v>
      </c>
      <c r="H33" s="604">
        <f>'2. CEP offre de base'!H33-CEP_OFINT2!H33</f>
        <v>-10000</v>
      </c>
      <c r="I33" s="14">
        <f t="shared" si="8"/>
        <v>-9999.9999999999218</v>
      </c>
      <c r="J33" s="14">
        <f t="shared" si="9"/>
        <v>-59999.999999999534</v>
      </c>
    </row>
    <row r="34" spans="1:19" x14ac:dyDescent="0.3">
      <c r="A34" s="36" t="s">
        <v>196</v>
      </c>
      <c r="B34" s="12"/>
      <c r="C34" s="250">
        <f>'2. CEP offre de base'!C34-CEP_OFINT2!C34</f>
        <v>-80123.245532869827</v>
      </c>
      <c r="D34" s="250">
        <f>'2. CEP offre de base'!D34-CEP_OFINT2!D34</f>
        <v>-79563.733724545222</v>
      </c>
      <c r="E34" s="250">
        <f>'2. CEP offre de base'!E34-CEP_OFINT2!E34</f>
        <v>-80463.843434515176</v>
      </c>
      <c r="F34" s="250">
        <f>'2. CEP offre de base'!F34-CEP_OFINT2!F34</f>
        <v>-81145.631989733782</v>
      </c>
      <c r="G34" s="250">
        <f>'2. CEP offre de base'!G34-CEP_OFINT2!G34</f>
        <v>-81223.254438877571</v>
      </c>
      <c r="H34" s="604">
        <f>'2. CEP offre de base'!H34-CEP_OFINT2!H34</f>
        <v>-81963.97555935639</v>
      </c>
      <c r="I34" s="14">
        <f>IFERROR(AVERAGE(C34:H34),0)</f>
        <v>-80747.28077998299</v>
      </c>
      <c r="J34" s="14">
        <f t="shared" si="9"/>
        <v>-484483.68467989797</v>
      </c>
    </row>
    <row r="35" spans="1:19" s="5" customFormat="1" x14ac:dyDescent="0.3">
      <c r="A35" s="303" t="s">
        <v>200</v>
      </c>
      <c r="B35" s="150" t="s">
        <v>87</v>
      </c>
      <c r="C35" s="23">
        <f>SUM(C36:C37)</f>
        <v>57627.451120270416</v>
      </c>
      <c r="D35" s="23">
        <f t="shared" ref="D35:H35" si="12">SUM(D36:D37)</f>
        <v>57864.160800714046</v>
      </c>
      <c r="E35" s="23">
        <f t="shared" si="12"/>
        <v>58199.844268204644</v>
      </c>
      <c r="F35" s="23">
        <f t="shared" si="12"/>
        <v>58319.388920709491</v>
      </c>
      <c r="G35" s="23">
        <f t="shared" si="12"/>
        <v>58777.508207986131</v>
      </c>
      <c r="H35" s="178">
        <f t="shared" si="12"/>
        <v>58972.166137039661</v>
      </c>
      <c r="I35" s="24">
        <f t="shared" ref="I35:I38" si="13">IFERROR(AVERAGE(C35:H35),0)</f>
        <v>58293.419909154065</v>
      </c>
      <c r="J35" s="24">
        <f t="shared" si="9"/>
        <v>349760.51945492439</v>
      </c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3">
      <c r="A36" s="36" t="s">
        <v>391</v>
      </c>
      <c r="B36" s="553">
        <f>I35/($I$38-5600000)</f>
        <v>-1.007910325997656E-2</v>
      </c>
      <c r="C36" s="250">
        <f>'2. CEP offre de base'!C36-CEP_OFINT2!C36</f>
        <v>45873.229844983667</v>
      </c>
      <c r="D36" s="250">
        <f>'2. CEP offre de base'!D36-CEP_OFINT2!D36</f>
        <v>45873.229844983667</v>
      </c>
      <c r="E36" s="250">
        <f>'2. CEP offre de base'!E36-CEP_OFINT2!E36</f>
        <v>45873.229844983667</v>
      </c>
      <c r="F36" s="250">
        <f>'2. CEP offre de base'!F36-CEP_OFINT2!F36</f>
        <v>45873.229844983667</v>
      </c>
      <c r="G36" s="250">
        <f>'2. CEP offre de base'!G36-CEP_OFINT2!G36</f>
        <v>45873.229844983667</v>
      </c>
      <c r="H36" s="604">
        <f>'2. CEP offre de base'!H36-CEP_OFINT2!H36</f>
        <v>45873.229844983667</v>
      </c>
      <c r="I36" s="14">
        <f t="shared" si="13"/>
        <v>45873.229844983667</v>
      </c>
      <c r="J36" s="14">
        <f t="shared" si="9"/>
        <v>275239.379069902</v>
      </c>
    </row>
    <row r="37" spans="1:19" x14ac:dyDescent="0.3">
      <c r="A37" s="36" t="s">
        <v>393</v>
      </c>
      <c r="B37" s="12"/>
      <c r="C37" s="250">
        <f>'2. CEP offre de base'!C37-CEP_OFINT2!C37</f>
        <v>11754.221275286749</v>
      </c>
      <c r="D37" s="250">
        <f>'2. CEP offre de base'!D37-CEP_OFINT2!D37</f>
        <v>11990.930955730379</v>
      </c>
      <c r="E37" s="250">
        <f>'2. CEP offre de base'!E37-CEP_OFINT2!E37</f>
        <v>12326.614423220977</v>
      </c>
      <c r="F37" s="250">
        <f>'2. CEP offre de base'!F37-CEP_OFINT2!F37</f>
        <v>12446.159075725824</v>
      </c>
      <c r="G37" s="250">
        <f>'2. CEP offre de base'!G37-CEP_OFINT2!G37</f>
        <v>12904.278363002464</v>
      </c>
      <c r="H37" s="604">
        <f>'2. CEP offre de base'!H37-CEP_OFINT2!H37</f>
        <v>13098.936292055994</v>
      </c>
      <c r="I37" s="14">
        <f t="shared" si="13"/>
        <v>12420.190064170398</v>
      </c>
      <c r="J37" s="14">
        <f t="shared" si="9"/>
        <v>74521.140385022387</v>
      </c>
    </row>
    <row r="38" spans="1:19" s="5" customFormat="1" x14ac:dyDescent="0.3">
      <c r="A38" s="96" t="s">
        <v>208</v>
      </c>
      <c r="B38" s="57"/>
      <c r="C38" s="19">
        <f>C21+C25+C35</f>
        <v>-208749.83852543228</v>
      </c>
      <c r="D38" s="19">
        <f t="shared" ref="D38:H38" si="14">D21+D25+D35</f>
        <v>-156109.97812738747</v>
      </c>
      <c r="E38" s="19">
        <f t="shared" si="14"/>
        <v>-180148.24904358643</v>
      </c>
      <c r="F38" s="19">
        <f t="shared" si="14"/>
        <v>-197200.63879220816</v>
      </c>
      <c r="G38" s="19">
        <f t="shared" si="14"/>
        <v>-178587.74002185476</v>
      </c>
      <c r="H38" s="35">
        <f t="shared" si="14"/>
        <v>-180754.91708732746</v>
      </c>
      <c r="I38" s="20">
        <f t="shared" si="13"/>
        <v>-183591.89359963275</v>
      </c>
      <c r="J38" s="35">
        <f t="shared" si="9"/>
        <v>-1101551.3615977964</v>
      </c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3">
      <c r="C39" s="13"/>
      <c r="I39" s="551"/>
    </row>
    <row r="40" spans="1:19" x14ac:dyDescent="0.3">
      <c r="I40" s="13"/>
    </row>
  </sheetData>
  <mergeCells count="7">
    <mergeCell ref="A19:A20"/>
    <mergeCell ref="B19:B20"/>
    <mergeCell ref="A1:J1"/>
    <mergeCell ref="A3:A4"/>
    <mergeCell ref="B3:B4"/>
    <mergeCell ref="A12:A13"/>
    <mergeCell ref="B12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&amp;L&amp;F&amp;R&amp;A</oddHeader>
    <oddFooter>&amp;L&amp;D&amp;C&amp;P/&amp;N&amp;R&amp;T</oddFooter>
  </headerFooter>
  <colBreaks count="2" manualBreakCount="2">
    <brk id="2" max="39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7312-A20A-4DF3-83BA-77EFB83DA73E}">
  <sheetPr codeName="Sheet28">
    <tabColor theme="3" tint="0.39997558519241921"/>
    <pageSetUpPr fitToPage="1"/>
  </sheetPr>
  <dimension ref="A1:AL61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outlineLevelRow="1" x14ac:dyDescent="0.3"/>
  <cols>
    <col min="1" max="1" width="40.453125" style="2" customWidth="1"/>
    <col min="2" max="2" width="11.453125" style="17" customWidth="1"/>
    <col min="3" max="8" width="12.453125" style="28" bestFit="1" customWidth="1"/>
    <col min="9" max="9" width="9.81640625" style="28" bestFit="1" customWidth="1"/>
    <col min="10" max="10" width="10.81640625" style="28" bestFit="1" customWidth="1"/>
    <col min="11" max="11" width="3.54296875" style="2" customWidth="1"/>
    <col min="12" max="12" width="27.453125" style="2" bestFit="1" customWidth="1"/>
    <col min="13" max="19" width="15.54296875" style="2" customWidth="1"/>
    <col min="20" max="20" width="11.26953125" style="2"/>
    <col min="21" max="24" width="7.81640625" style="2" customWidth="1"/>
    <col min="25" max="16384" width="11.26953125" style="2"/>
  </cols>
  <sheetData>
    <row r="1" spans="1:38" ht="30" customHeight="1" x14ac:dyDescent="0.35">
      <c r="A1" s="680" t="s">
        <v>518</v>
      </c>
      <c r="B1" s="681"/>
      <c r="C1" s="681"/>
      <c r="D1" s="681"/>
      <c r="E1" s="681"/>
      <c r="F1" s="681"/>
      <c r="G1" s="681"/>
      <c r="H1" s="681"/>
      <c r="I1" s="681"/>
      <c r="J1" s="682"/>
      <c r="L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</row>
    <row r="2" spans="1:38" ht="14.5" x14ac:dyDescent="0.35">
      <c r="L2"/>
      <c r="M2" s="171"/>
      <c r="N2" s="171"/>
      <c r="O2" s="623"/>
      <c r="P2" s="623"/>
      <c r="Q2" s="623"/>
      <c r="R2" s="623"/>
      <c r="S2" s="623"/>
      <c r="T2" s="623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</row>
    <row r="3" spans="1:38" ht="27.65" customHeight="1" x14ac:dyDescent="0.3">
      <c r="A3" s="668" t="s">
        <v>375</v>
      </c>
      <c r="B3" s="678" t="s">
        <v>0</v>
      </c>
      <c r="C3" s="590">
        <v>2024</v>
      </c>
      <c r="D3" s="590">
        <f>C3+1</f>
        <v>2025</v>
      </c>
      <c r="E3" s="590">
        <f t="shared" ref="E3:G3" si="0">D3+1</f>
        <v>2026</v>
      </c>
      <c r="F3" s="590">
        <f t="shared" si="0"/>
        <v>2027</v>
      </c>
      <c r="G3" s="590">
        <f t="shared" si="0"/>
        <v>2028</v>
      </c>
      <c r="H3" s="591">
        <f>G3+1</f>
        <v>2029</v>
      </c>
      <c r="I3" s="179" t="s">
        <v>271</v>
      </c>
      <c r="J3" s="4" t="s">
        <v>62</v>
      </c>
      <c r="L3" s="687" t="s">
        <v>338</v>
      </c>
      <c r="M3" s="171"/>
      <c r="N3" s="171"/>
      <c r="O3" s="623"/>
      <c r="P3" s="623"/>
      <c r="Q3" s="623"/>
      <c r="R3" s="623"/>
      <c r="S3" s="623"/>
      <c r="T3" s="623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</row>
    <row r="4" spans="1:38" x14ac:dyDescent="0.3">
      <c r="A4" s="669"/>
      <c r="B4" s="679"/>
      <c r="C4" s="77">
        <v>12</v>
      </c>
      <c r="D4" s="77">
        <v>12</v>
      </c>
      <c r="E4" s="77">
        <v>12</v>
      </c>
      <c r="F4" s="77">
        <v>12</v>
      </c>
      <c r="G4" s="77">
        <v>12</v>
      </c>
      <c r="H4" s="181">
        <v>12</v>
      </c>
      <c r="I4" s="78">
        <f t="shared" ref="I4:I9" si="1">IFERROR(AVERAGE(C4:H4),0)</f>
        <v>12</v>
      </c>
      <c r="J4" s="78">
        <f t="shared" ref="J4:J9" si="2">SUM(C4:H4)</f>
        <v>72</v>
      </c>
      <c r="L4" s="688"/>
      <c r="M4" s="171"/>
      <c r="N4" s="171"/>
      <c r="O4" s="623"/>
      <c r="P4" s="623"/>
      <c r="Q4" s="623"/>
      <c r="R4" s="623"/>
      <c r="S4" s="623"/>
      <c r="T4" s="623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</row>
    <row r="5" spans="1:38" x14ac:dyDescent="0.3">
      <c r="A5" s="302" t="s">
        <v>356</v>
      </c>
      <c r="B5" s="8"/>
      <c r="C5" s="592">
        <v>13099093.34260395</v>
      </c>
      <c r="D5" s="592">
        <v>13703981.217229851</v>
      </c>
      <c r="E5" s="592">
        <v>13945913.834965749</v>
      </c>
      <c r="F5" s="592">
        <v>14186628.343312854</v>
      </c>
      <c r="G5" s="592">
        <v>14349958.09592524</v>
      </c>
      <c r="H5" s="593">
        <v>14495395.16961389</v>
      </c>
      <c r="I5" s="10">
        <f t="shared" si="1"/>
        <v>13963495.000608588</v>
      </c>
      <c r="J5" s="10">
        <f t="shared" si="2"/>
        <v>83780970.00365153</v>
      </c>
      <c r="K5" s="11"/>
      <c r="L5" s="624"/>
      <c r="M5" s="233"/>
      <c r="N5" s="171"/>
      <c r="O5" s="623"/>
      <c r="P5" s="623"/>
      <c r="Q5" s="623"/>
      <c r="R5" s="623"/>
      <c r="S5" s="623"/>
      <c r="T5" s="623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</row>
    <row r="6" spans="1:38" x14ac:dyDescent="0.3">
      <c r="A6" s="36" t="s">
        <v>332</v>
      </c>
      <c r="B6" s="12"/>
      <c r="C6" s="13">
        <v>68623.096294117</v>
      </c>
      <c r="D6" s="13">
        <v>71791.962854720157</v>
      </c>
      <c r="E6" s="13">
        <v>73059.391438466555</v>
      </c>
      <c r="F6" s="13">
        <v>74320.438631096957</v>
      </c>
      <c r="G6" s="13">
        <v>75176.085128764098</v>
      </c>
      <c r="H6" s="157">
        <v>75937.996052782823</v>
      </c>
      <c r="I6" s="14">
        <f t="shared" si="1"/>
        <v>73151.495066657939</v>
      </c>
      <c r="J6" s="14">
        <f t="shared" si="2"/>
        <v>438908.9703999476</v>
      </c>
      <c r="K6" s="11"/>
      <c r="L6" s="625"/>
      <c r="M6" s="233"/>
      <c r="N6" s="171"/>
      <c r="O6" s="171"/>
      <c r="P6" s="233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</row>
    <row r="7" spans="1:38" x14ac:dyDescent="0.3">
      <c r="A7" s="36" t="s">
        <v>463</v>
      </c>
      <c r="B7" s="12"/>
      <c r="C7" s="13">
        <v>17155.77407352925</v>
      </c>
      <c r="D7" s="13">
        <v>17947.990713680039</v>
      </c>
      <c r="E7" s="13">
        <v>18264.847859616639</v>
      </c>
      <c r="F7" s="13">
        <v>18580.109657774239</v>
      </c>
      <c r="G7" s="13">
        <v>18794.021282191025</v>
      </c>
      <c r="H7" s="157">
        <v>18984.499013195706</v>
      </c>
      <c r="I7" s="14">
        <f t="shared" si="1"/>
        <v>18287.873766664485</v>
      </c>
      <c r="J7" s="14">
        <f t="shared" si="2"/>
        <v>109727.2425999869</v>
      </c>
      <c r="K7" s="11"/>
      <c r="L7" s="625"/>
      <c r="M7" s="233"/>
      <c r="N7" s="171"/>
      <c r="O7" s="171"/>
      <c r="P7" s="23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</row>
    <row r="8" spans="1:38" x14ac:dyDescent="0.3">
      <c r="A8" s="36" t="s">
        <v>360</v>
      </c>
      <c r="B8" s="12"/>
      <c r="C8" s="13">
        <v>11877.074358597172</v>
      </c>
      <c r="D8" s="13">
        <v>12425.532032547719</v>
      </c>
      <c r="E8" s="13">
        <v>12644.894672042288</v>
      </c>
      <c r="F8" s="13">
        <v>12863.152839997552</v>
      </c>
      <c r="G8" s="13">
        <v>13011.245503055325</v>
      </c>
      <c r="H8" s="157">
        <v>13143.114701443181</v>
      </c>
      <c r="I8" s="14">
        <f t="shared" si="1"/>
        <v>12660.835684613872</v>
      </c>
      <c r="J8" s="14">
        <f t="shared" si="2"/>
        <v>75965.014107683237</v>
      </c>
      <c r="K8" s="11"/>
      <c r="L8" s="625"/>
      <c r="M8" s="233"/>
      <c r="N8" s="171"/>
      <c r="O8" s="171"/>
      <c r="P8" s="233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x14ac:dyDescent="0.3">
      <c r="A9" s="617" t="s">
        <v>532</v>
      </c>
      <c r="B9" s="618"/>
      <c r="C9" s="619">
        <v>2393841.3261514227</v>
      </c>
      <c r="D9" s="619">
        <v>2428701.8133893022</v>
      </c>
      <c r="E9" s="619">
        <v>2445949.6733285394</v>
      </c>
      <c r="F9" s="619">
        <v>2465995.3375305142</v>
      </c>
      <c r="G9" s="619">
        <v>2473046.0809989995</v>
      </c>
      <c r="H9" s="620">
        <v>2476494.5639789775</v>
      </c>
      <c r="I9" s="621">
        <f t="shared" si="1"/>
        <v>2447338.1325629591</v>
      </c>
      <c r="J9" s="621">
        <f t="shared" si="2"/>
        <v>14684028.795377756</v>
      </c>
      <c r="K9" s="11"/>
      <c r="L9" s="625"/>
      <c r="M9" s="233"/>
      <c r="N9" s="171"/>
      <c r="O9" s="171"/>
      <c r="P9" s="233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s="5" customFormat="1" x14ac:dyDescent="0.3">
      <c r="A10" s="96" t="s">
        <v>372</v>
      </c>
      <c r="B10" s="57" t="s">
        <v>336</v>
      </c>
      <c r="C10" s="19">
        <f>SUM(C5:C9)</f>
        <v>15590590.613481617</v>
      </c>
      <c r="D10" s="19">
        <f t="shared" ref="D10:H10" si="3">SUM(D5:D9)</f>
        <v>16234848.5162201</v>
      </c>
      <c r="E10" s="19">
        <f t="shared" si="3"/>
        <v>16495832.642264415</v>
      </c>
      <c r="F10" s="19">
        <f t="shared" si="3"/>
        <v>16758387.381972237</v>
      </c>
      <c r="G10" s="19">
        <f t="shared" si="3"/>
        <v>16929985.528838247</v>
      </c>
      <c r="H10" s="35">
        <f t="shared" si="3"/>
        <v>17079955.34336029</v>
      </c>
      <c r="I10" s="20">
        <f>IFERROR(AVERAGE(C10:H10),0)</f>
        <v>16514933.337689484</v>
      </c>
      <c r="J10" s="20">
        <f>SUM(C10:H10)</f>
        <v>99089600.026136905</v>
      </c>
      <c r="K10" s="6"/>
      <c r="L10" s="626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x14ac:dyDescent="0.3">
      <c r="C11" s="13"/>
      <c r="D11" s="13"/>
      <c r="E11" s="13"/>
      <c r="F11" s="13"/>
      <c r="G11" s="13"/>
      <c r="H11" s="13"/>
      <c r="I11" s="13"/>
      <c r="J11" s="13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7.65" customHeight="1" x14ac:dyDescent="0.3">
      <c r="A12" s="668" t="s">
        <v>201</v>
      </c>
      <c r="B12" s="678" t="s">
        <v>0</v>
      </c>
      <c r="C12" s="590">
        <f>Annee</f>
        <v>2024</v>
      </c>
      <c r="D12" s="590">
        <f>C12+1</f>
        <v>2025</v>
      </c>
      <c r="E12" s="590">
        <f t="shared" ref="E12:G12" si="4">D12+1</f>
        <v>2026</v>
      </c>
      <c r="F12" s="590">
        <f t="shared" si="4"/>
        <v>2027</v>
      </c>
      <c r="G12" s="590">
        <f t="shared" si="4"/>
        <v>2028</v>
      </c>
      <c r="H12" s="591">
        <f>G12+1</f>
        <v>2029</v>
      </c>
      <c r="I12" s="179" t="s">
        <v>271</v>
      </c>
      <c r="J12" s="4" t="s">
        <v>62</v>
      </c>
      <c r="L12" s="687" t="s">
        <v>338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8" x14ac:dyDescent="0.3">
      <c r="A13" s="669"/>
      <c r="B13" s="679"/>
      <c r="C13" s="77">
        <v>12</v>
      </c>
      <c r="D13" s="77">
        <v>12</v>
      </c>
      <c r="E13" s="77">
        <v>12</v>
      </c>
      <c r="F13" s="77">
        <v>12</v>
      </c>
      <c r="G13" s="77">
        <v>12</v>
      </c>
      <c r="H13" s="181">
        <v>12</v>
      </c>
      <c r="I13" s="78">
        <f>IFERROR(AVERAGE(C13:H13),0)</f>
        <v>12</v>
      </c>
      <c r="J13" s="78">
        <f t="shared" ref="J13:J17" si="5">SUM(C13:H13)</f>
        <v>72</v>
      </c>
      <c r="L13" s="688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8" x14ac:dyDescent="0.3">
      <c r="A14" s="302" t="s">
        <v>66</v>
      </c>
      <c r="B14" s="8"/>
      <c r="C14" s="592">
        <v>5265297.113835779</v>
      </c>
      <c r="D14" s="592">
        <v>5536360.3445616579</v>
      </c>
      <c r="E14" s="592">
        <v>5662784.2022868032</v>
      </c>
      <c r="F14" s="592">
        <v>5767757.874517139</v>
      </c>
      <c r="G14" s="592">
        <v>5844708.9831945701</v>
      </c>
      <c r="H14" s="593">
        <v>5910238.2433930635</v>
      </c>
      <c r="I14" s="10">
        <f>IFERROR(AVERAGE(C14:H14),0)</f>
        <v>5664524.4602981685</v>
      </c>
      <c r="J14" s="10">
        <f t="shared" si="5"/>
        <v>33987146.761789009</v>
      </c>
      <c r="K14" s="11"/>
      <c r="L14" s="624"/>
      <c r="M14" s="233"/>
      <c r="N14" s="171"/>
      <c r="O14" s="171"/>
      <c r="P14" s="233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5" spans="1:38" x14ac:dyDescent="0.3">
      <c r="A15" s="36" t="s">
        <v>334</v>
      </c>
      <c r="B15" s="12"/>
      <c r="C15" s="13">
        <v>95000</v>
      </c>
      <c r="D15" s="13">
        <v>95000</v>
      </c>
      <c r="E15" s="13">
        <v>95000</v>
      </c>
      <c r="F15" s="13">
        <v>95000</v>
      </c>
      <c r="G15" s="13">
        <v>95000</v>
      </c>
      <c r="H15" s="157">
        <v>95000</v>
      </c>
      <c r="I15" s="14">
        <f>IFERROR(AVERAGE(C15:H15),0)</f>
        <v>95000</v>
      </c>
      <c r="J15" s="14">
        <f t="shared" si="5"/>
        <v>570000</v>
      </c>
      <c r="K15" s="11"/>
      <c r="L15" s="625"/>
      <c r="M15" s="233"/>
      <c r="N15" s="171"/>
      <c r="O15" s="171"/>
      <c r="P15" s="233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</row>
    <row r="16" spans="1:38" x14ac:dyDescent="0.3">
      <c r="A16" s="59" t="s">
        <v>67</v>
      </c>
      <c r="B16" s="15"/>
      <c r="C16" s="106">
        <v>226000.8</v>
      </c>
      <c r="D16" s="106">
        <v>228568.40000000002</v>
      </c>
      <c r="E16" s="106">
        <v>230567.6</v>
      </c>
      <c r="F16" s="106">
        <v>236194.8</v>
      </c>
      <c r="G16" s="106">
        <v>236292.8</v>
      </c>
      <c r="H16" s="183">
        <v>236332</v>
      </c>
      <c r="I16" s="16">
        <f>IFERROR(AVERAGE(C16:H16),0)</f>
        <v>232326.06666666668</v>
      </c>
      <c r="J16" s="16">
        <f t="shared" si="5"/>
        <v>1393956.4000000001</v>
      </c>
      <c r="K16" s="11"/>
      <c r="L16" s="625"/>
      <c r="M16" s="233"/>
      <c r="N16" s="171"/>
      <c r="O16" s="171"/>
      <c r="P16" s="233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</row>
    <row r="17" spans="1:38" s="5" customFormat="1" x14ac:dyDescent="0.3">
      <c r="A17" s="96" t="s">
        <v>207</v>
      </c>
      <c r="B17" s="57" t="s">
        <v>336</v>
      </c>
      <c r="C17" s="19">
        <f>SUM(C14:C16)</f>
        <v>5586297.9138357788</v>
      </c>
      <c r="D17" s="19">
        <f t="shared" ref="D17:H17" si="6">SUM(D14:D16)</f>
        <v>5859928.7445616582</v>
      </c>
      <c r="E17" s="19">
        <f t="shared" si="6"/>
        <v>5988351.8022868028</v>
      </c>
      <c r="F17" s="19">
        <f t="shared" si="6"/>
        <v>6098952.6745171389</v>
      </c>
      <c r="G17" s="19">
        <f t="shared" si="6"/>
        <v>6176001.7831945699</v>
      </c>
      <c r="H17" s="35">
        <f t="shared" si="6"/>
        <v>6241570.2433930635</v>
      </c>
      <c r="I17" s="20">
        <f>IFERROR(AVERAGE(C17:H17),0)</f>
        <v>5991850.5269648358</v>
      </c>
      <c r="J17" s="20">
        <f t="shared" si="5"/>
        <v>35951103.161789015</v>
      </c>
      <c r="K17" s="6"/>
      <c r="L17" s="626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</row>
    <row r="18" spans="1:38" ht="14.5" x14ac:dyDescent="0.35">
      <c r="C18" s="13"/>
      <c r="D18" s="13"/>
      <c r="E18" s="13"/>
      <c r="F18" s="13"/>
      <c r="G18" s="13"/>
      <c r="H18" s="13"/>
      <c r="I18" s="13"/>
      <c r="J18" s="13"/>
      <c r="L18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</row>
    <row r="19" spans="1:38" ht="27.65" customHeight="1" x14ac:dyDescent="0.3">
      <c r="A19" s="668" t="s">
        <v>198</v>
      </c>
      <c r="B19" s="678" t="s">
        <v>0</v>
      </c>
      <c r="C19" s="590">
        <f>Annee</f>
        <v>2024</v>
      </c>
      <c r="D19" s="590">
        <f>C19+1</f>
        <v>2025</v>
      </c>
      <c r="E19" s="590">
        <f t="shared" ref="E19:G19" si="7">D19+1</f>
        <v>2026</v>
      </c>
      <c r="F19" s="590">
        <f t="shared" si="7"/>
        <v>2027</v>
      </c>
      <c r="G19" s="590">
        <f t="shared" si="7"/>
        <v>2028</v>
      </c>
      <c r="H19" s="591">
        <f>G19+1</f>
        <v>2029</v>
      </c>
      <c r="I19" s="179" t="s">
        <v>271</v>
      </c>
      <c r="J19" s="4" t="s">
        <v>62</v>
      </c>
      <c r="L19" s="686" t="s">
        <v>338</v>
      </c>
      <c r="M19" s="171"/>
      <c r="N19" s="233"/>
      <c r="O19" s="233"/>
      <c r="P19" s="233"/>
      <c r="Q19" s="233"/>
      <c r="R19" s="233"/>
      <c r="S19" s="233"/>
      <c r="T19" s="171"/>
      <c r="U19" s="171"/>
      <c r="V19" s="171"/>
      <c r="W19" s="171"/>
      <c r="X19" s="171"/>
      <c r="Y19" s="233"/>
      <c r="Z19" s="233"/>
      <c r="AA19" s="233"/>
      <c r="AB19" s="233"/>
      <c r="AC19" s="233"/>
      <c r="AD19" s="233"/>
      <c r="AE19" s="171"/>
      <c r="AF19" s="171"/>
      <c r="AG19" s="627"/>
      <c r="AH19" s="627"/>
      <c r="AI19" s="627"/>
      <c r="AJ19" s="627"/>
      <c r="AK19" s="627"/>
      <c r="AL19" s="627"/>
    </row>
    <row r="20" spans="1:38" x14ac:dyDescent="0.3">
      <c r="A20" s="669"/>
      <c r="B20" s="679"/>
      <c r="C20" s="77">
        <v>12</v>
      </c>
      <c r="D20" s="77">
        <v>12</v>
      </c>
      <c r="E20" s="77">
        <v>12</v>
      </c>
      <c r="F20" s="77">
        <v>12</v>
      </c>
      <c r="G20" s="77">
        <v>12</v>
      </c>
      <c r="H20" s="181">
        <v>12</v>
      </c>
      <c r="I20" s="78">
        <f t="shared" ref="I20:I38" si="8">IFERROR(AVERAGE(C20:H20),0)</f>
        <v>12</v>
      </c>
      <c r="J20" s="78">
        <f t="shared" ref="J20:J38" si="9">SUM(C20:H20)</f>
        <v>72</v>
      </c>
      <c r="L20" s="686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233"/>
      <c r="Z20" s="233"/>
      <c r="AA20" s="233"/>
      <c r="AB20" s="233"/>
      <c r="AC20" s="233"/>
      <c r="AD20" s="233"/>
      <c r="AE20" s="171"/>
      <c r="AF20" s="171"/>
      <c r="AG20" s="171"/>
      <c r="AH20" s="171"/>
      <c r="AI20" s="171"/>
      <c r="AJ20" s="171"/>
      <c r="AK20" s="171"/>
      <c r="AL20" s="171"/>
    </row>
    <row r="21" spans="1:38" s="5" customFormat="1" x14ac:dyDescent="0.3">
      <c r="A21" s="303" t="s">
        <v>197</v>
      </c>
      <c r="B21" s="150" t="s">
        <v>168</v>
      </c>
      <c r="C21" s="110">
        <f>SUM(C22:C24)</f>
        <v>28364221.840278126</v>
      </c>
      <c r="D21" s="110">
        <f t="shared" ref="D21:H21" si="10">SUM(D22:D24)</f>
        <v>28471841.605147511</v>
      </c>
      <c r="E21" s="110">
        <f t="shared" si="10"/>
        <v>28392505.420984343</v>
      </c>
      <c r="F21" s="110">
        <f t="shared" si="10"/>
        <v>28748790.36821913</v>
      </c>
      <c r="G21" s="110">
        <f t="shared" si="10"/>
        <v>28600757.744426068</v>
      </c>
      <c r="H21" s="184">
        <f t="shared" si="10"/>
        <v>29335427.019763879</v>
      </c>
      <c r="I21" s="24">
        <f t="shared" si="8"/>
        <v>28652257.333136514</v>
      </c>
      <c r="J21" s="24">
        <f t="shared" si="9"/>
        <v>171913543.99881908</v>
      </c>
      <c r="K21" s="613"/>
      <c r="L21" s="625"/>
      <c r="M21" s="628"/>
      <c r="N21" s="233"/>
      <c r="O21" s="233"/>
      <c r="P21" s="233"/>
      <c r="Q21" s="233"/>
      <c r="R21" s="233"/>
      <c r="S21" s="233"/>
      <c r="T21" s="171"/>
      <c r="U21" s="171"/>
      <c r="V21" s="171"/>
      <c r="W21" s="171"/>
      <c r="X21" s="171"/>
      <c r="Y21" s="233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</row>
    <row r="22" spans="1:38" x14ac:dyDescent="0.3">
      <c r="A22" s="36" t="s">
        <v>1</v>
      </c>
      <c r="B22" s="554">
        <f>I21/($I$38-5600000)</f>
        <v>0.37412644698938885</v>
      </c>
      <c r="C22" s="608">
        <v>8699441.4140616488</v>
      </c>
      <c r="D22" s="608">
        <v>8721224.4787007961</v>
      </c>
      <c r="E22" s="608">
        <v>8614349.3045153767</v>
      </c>
      <c r="F22" s="608">
        <v>8869451.9639682844</v>
      </c>
      <c r="G22" s="608">
        <v>8572617.2885588743</v>
      </c>
      <c r="H22" s="609">
        <v>9137963.8890350573</v>
      </c>
      <c r="I22" s="14">
        <f t="shared" si="8"/>
        <v>8769174.7231400069</v>
      </c>
      <c r="J22" s="14">
        <f t="shared" si="9"/>
        <v>52615048.338840038</v>
      </c>
      <c r="L22" s="624" t="s">
        <v>320</v>
      </c>
      <c r="M22" s="171"/>
      <c r="N22" s="627"/>
      <c r="O22" s="627"/>
      <c r="P22" s="627"/>
      <c r="Q22" s="627"/>
      <c r="R22" s="627"/>
      <c r="S22" s="627"/>
      <c r="T22" s="171"/>
      <c r="U22" s="171"/>
      <c r="V22" s="171"/>
      <c r="W22" s="171"/>
      <c r="X22" s="171"/>
      <c r="Y22" s="233"/>
      <c r="Z22" s="233"/>
      <c r="AA22" s="233"/>
      <c r="AB22" s="233"/>
      <c r="AC22" s="233"/>
      <c r="AD22" s="233"/>
      <c r="AE22" s="171"/>
      <c r="AF22" s="171"/>
      <c r="AG22" s="233"/>
      <c r="AH22" s="233"/>
      <c r="AI22" s="233"/>
      <c r="AJ22" s="233"/>
      <c r="AK22" s="233"/>
      <c r="AL22" s="233"/>
    </row>
    <row r="23" spans="1:38" x14ac:dyDescent="0.3">
      <c r="A23" s="36" t="s">
        <v>392</v>
      </c>
      <c r="B23" s="12"/>
      <c r="C23" s="608">
        <v>19411760.456216477</v>
      </c>
      <c r="D23" s="608">
        <v>19500094.656446714</v>
      </c>
      <c r="E23" s="608">
        <v>19527971.146468967</v>
      </c>
      <c r="F23" s="608">
        <v>19628753.434250847</v>
      </c>
      <c r="G23" s="608">
        <v>19774176.485867195</v>
      </c>
      <c r="H23" s="609">
        <v>19944574.160728823</v>
      </c>
      <c r="I23" s="14">
        <f t="shared" si="8"/>
        <v>19631221.723329838</v>
      </c>
      <c r="J23" s="14">
        <f t="shared" si="9"/>
        <v>117787330.33997904</v>
      </c>
      <c r="L23" s="625" t="s">
        <v>309</v>
      </c>
      <c r="M23" s="171"/>
      <c r="N23" s="627"/>
      <c r="O23" s="627"/>
      <c r="P23" s="627"/>
      <c r="Q23" s="627"/>
      <c r="R23" s="627"/>
      <c r="S23" s="627"/>
      <c r="T23" s="171"/>
      <c r="U23" s="171"/>
      <c r="V23" s="171"/>
      <c r="W23" s="171"/>
      <c r="X23" s="171"/>
      <c r="Y23" s="233"/>
      <c r="Z23" s="233"/>
      <c r="AA23" s="233"/>
      <c r="AB23" s="233"/>
      <c r="AC23" s="233"/>
      <c r="AD23" s="233"/>
      <c r="AE23" s="171"/>
      <c r="AF23" s="171"/>
      <c r="AG23" s="233"/>
      <c r="AH23" s="233"/>
      <c r="AI23" s="233"/>
      <c r="AJ23" s="233"/>
      <c r="AK23" s="233"/>
      <c r="AL23" s="233"/>
    </row>
    <row r="24" spans="1:38" x14ac:dyDescent="0.3">
      <c r="A24" s="36" t="s">
        <v>2</v>
      </c>
      <c r="B24" s="12"/>
      <c r="C24" s="608">
        <v>253019.97</v>
      </c>
      <c r="D24" s="608">
        <v>250522.47</v>
      </c>
      <c r="E24" s="608">
        <v>250184.97</v>
      </c>
      <c r="F24" s="608">
        <v>250584.97</v>
      </c>
      <c r="G24" s="608">
        <v>253963.97</v>
      </c>
      <c r="H24" s="609">
        <v>252888.97</v>
      </c>
      <c r="I24" s="14">
        <f t="shared" si="8"/>
        <v>251860.88666666669</v>
      </c>
      <c r="J24" s="14">
        <f t="shared" si="9"/>
        <v>1511165.32</v>
      </c>
      <c r="L24" s="625" t="s">
        <v>310</v>
      </c>
      <c r="M24" s="171"/>
      <c r="N24" s="627"/>
      <c r="O24" s="627"/>
      <c r="P24" s="627"/>
      <c r="Q24" s="627"/>
      <c r="R24" s="627"/>
      <c r="S24" s="627"/>
      <c r="T24" s="171"/>
      <c r="U24" s="171"/>
      <c r="V24" s="171"/>
      <c r="W24" s="171"/>
      <c r="X24" s="171"/>
      <c r="Y24" s="233"/>
      <c r="Z24" s="233"/>
      <c r="AA24" s="233"/>
      <c r="AB24" s="233"/>
      <c r="AC24" s="233"/>
      <c r="AD24" s="233"/>
      <c r="AE24" s="171"/>
      <c r="AF24" s="171"/>
      <c r="AG24" s="233"/>
      <c r="AH24" s="233"/>
      <c r="AI24" s="233"/>
      <c r="AJ24" s="233"/>
      <c r="AK24" s="233"/>
      <c r="AL24" s="233"/>
    </row>
    <row r="25" spans="1:38" s="5" customFormat="1" x14ac:dyDescent="0.3">
      <c r="A25" s="303" t="s">
        <v>199</v>
      </c>
      <c r="B25" s="150" t="s">
        <v>86</v>
      </c>
      <c r="C25" s="23">
        <f t="shared" ref="C25:H25" si="11">SUM(C26:C34)</f>
        <v>21429624.962608587</v>
      </c>
      <c r="D25" s="23">
        <f t="shared" si="11"/>
        <v>21537619.259577811</v>
      </c>
      <c r="E25" s="23">
        <f t="shared" si="11"/>
        <v>21693261.024000324</v>
      </c>
      <c r="F25" s="23">
        <f t="shared" si="11"/>
        <v>21611217.819419526</v>
      </c>
      <c r="G25" s="23">
        <f t="shared" si="11"/>
        <v>21745132.763775002</v>
      </c>
      <c r="H25" s="178">
        <f t="shared" si="11"/>
        <v>21642222.080057092</v>
      </c>
      <c r="I25" s="24">
        <f t="shared" si="8"/>
        <v>21609846.318239722</v>
      </c>
      <c r="J25" s="24">
        <f t="shared" si="9"/>
        <v>129659077.90943834</v>
      </c>
      <c r="K25" s="613"/>
      <c r="L25" s="626"/>
      <c r="M25" s="628"/>
      <c r="N25" s="233"/>
      <c r="O25" s="233"/>
      <c r="P25" s="233"/>
      <c r="Q25" s="233"/>
      <c r="R25" s="233"/>
      <c r="S25" s="233"/>
      <c r="T25" s="171"/>
      <c r="U25" s="171"/>
      <c r="V25" s="171"/>
      <c r="W25" s="171"/>
      <c r="X25" s="171"/>
      <c r="Y25" s="233"/>
      <c r="Z25" s="233"/>
      <c r="AA25" s="233"/>
      <c r="AB25" s="233"/>
      <c r="AC25" s="233"/>
      <c r="AD25" s="233"/>
      <c r="AE25" s="171"/>
      <c r="AF25" s="171"/>
      <c r="AG25" s="233"/>
      <c r="AH25" s="233"/>
      <c r="AI25" s="233"/>
      <c r="AJ25" s="233"/>
      <c r="AK25" s="233"/>
      <c r="AL25" s="233"/>
    </row>
    <row r="26" spans="1:38" x14ac:dyDescent="0.3">
      <c r="A26" s="36" t="s">
        <v>3</v>
      </c>
      <c r="B26" s="555">
        <f>(I25-5600000)/($I$38-5600000)</f>
        <v>0.20904834304144135</v>
      </c>
      <c r="C26" s="608">
        <v>2093776.11</v>
      </c>
      <c r="D26" s="608">
        <v>1991752.75</v>
      </c>
      <c r="E26" s="608">
        <v>2098252.75</v>
      </c>
      <c r="F26" s="608">
        <v>2009752.75</v>
      </c>
      <c r="G26" s="608">
        <v>2063252.75</v>
      </c>
      <c r="H26" s="609">
        <v>1993752.75</v>
      </c>
      <c r="I26" s="14">
        <f t="shared" si="8"/>
        <v>2041756.6433333333</v>
      </c>
      <c r="J26" s="14">
        <f t="shared" si="9"/>
        <v>12250539.859999999</v>
      </c>
      <c r="L26" s="625" t="s">
        <v>318</v>
      </c>
      <c r="M26" s="171"/>
      <c r="N26" s="627"/>
      <c r="O26" s="627"/>
      <c r="P26" s="627"/>
      <c r="Q26" s="627"/>
      <c r="R26" s="627"/>
      <c r="S26" s="627"/>
      <c r="T26" s="627"/>
      <c r="U26" s="171"/>
      <c r="V26" s="171"/>
      <c r="W26" s="171"/>
      <c r="X26" s="171"/>
      <c r="Y26" s="233"/>
      <c r="Z26" s="233"/>
      <c r="AA26" s="233"/>
      <c r="AB26" s="233"/>
      <c r="AC26" s="233"/>
      <c r="AD26" s="233"/>
      <c r="AE26" s="171"/>
      <c r="AF26" s="171"/>
      <c r="AG26" s="233"/>
      <c r="AH26" s="233"/>
      <c r="AI26" s="233"/>
      <c r="AJ26" s="233"/>
      <c r="AK26" s="233"/>
      <c r="AL26" s="233"/>
    </row>
    <row r="27" spans="1:38" x14ac:dyDescent="0.3">
      <c r="A27" s="36" t="s">
        <v>290</v>
      </c>
      <c r="B27" s="12"/>
      <c r="C27" s="13">
        <v>771468.80000000005</v>
      </c>
      <c r="D27" s="13">
        <v>771468.80000000005</v>
      </c>
      <c r="E27" s="13">
        <v>771468.80000000005</v>
      </c>
      <c r="F27" s="13">
        <v>771468.80000000005</v>
      </c>
      <c r="G27" s="13">
        <v>771468.80000000005</v>
      </c>
      <c r="H27" s="157">
        <v>771468.80000000005</v>
      </c>
      <c r="I27" s="14">
        <f t="shared" si="8"/>
        <v>771468.79999999993</v>
      </c>
      <c r="J27" s="14">
        <f t="shared" si="9"/>
        <v>4628812.8</v>
      </c>
      <c r="L27" s="625" t="s">
        <v>318</v>
      </c>
      <c r="M27" s="171"/>
      <c r="N27" s="627"/>
      <c r="O27" s="627"/>
      <c r="P27" s="627"/>
      <c r="Q27" s="627"/>
      <c r="R27" s="627"/>
      <c r="S27" s="627"/>
      <c r="T27" s="171"/>
      <c r="U27" s="171"/>
      <c r="V27" s="171"/>
      <c r="W27" s="171"/>
      <c r="X27" s="171"/>
      <c r="Y27" s="233"/>
      <c r="Z27" s="233"/>
      <c r="AA27" s="233"/>
      <c r="AB27" s="233"/>
      <c r="AC27" s="233"/>
      <c r="AD27" s="233"/>
      <c r="AE27" s="171"/>
      <c r="AF27" s="171"/>
      <c r="AG27" s="233"/>
      <c r="AH27" s="233"/>
      <c r="AI27" s="233"/>
      <c r="AJ27" s="233"/>
      <c r="AK27" s="233"/>
      <c r="AL27" s="233"/>
    </row>
    <row r="28" spans="1:38" x14ac:dyDescent="0.3">
      <c r="A28" s="36" t="s">
        <v>166</v>
      </c>
      <c r="B28" s="12"/>
      <c r="C28" s="608">
        <v>9817266.753642831</v>
      </c>
      <c r="D28" s="608">
        <v>9868386.2238151133</v>
      </c>
      <c r="E28" s="608">
        <v>9920793.8992272969</v>
      </c>
      <c r="F28" s="608">
        <v>9880026.6376002878</v>
      </c>
      <c r="G28" s="608">
        <v>9953517.8595378064</v>
      </c>
      <c r="H28" s="609">
        <v>9979660.4989277944</v>
      </c>
      <c r="I28" s="14">
        <f t="shared" si="8"/>
        <v>9903275.3121251874</v>
      </c>
      <c r="J28" s="14">
        <f t="shared" si="9"/>
        <v>59419651.872751124</v>
      </c>
      <c r="L28" s="625" t="s">
        <v>319</v>
      </c>
      <c r="M28" s="598"/>
      <c r="N28" s="540"/>
      <c r="O28" s="540"/>
      <c r="P28" s="540"/>
      <c r="Q28" s="540"/>
      <c r="R28" s="540"/>
      <c r="S28" s="540"/>
      <c r="T28" s="598"/>
      <c r="U28" s="171"/>
      <c r="V28" s="171"/>
      <c r="W28" s="171"/>
      <c r="X28" s="171"/>
      <c r="Y28" s="233"/>
      <c r="Z28" s="233"/>
      <c r="AA28" s="233"/>
      <c r="AB28" s="233"/>
      <c r="AC28" s="233"/>
      <c r="AD28" s="233"/>
      <c r="AE28" s="171"/>
      <c r="AF28" s="171"/>
      <c r="AG28" s="233"/>
      <c r="AH28" s="233"/>
      <c r="AI28" s="233"/>
      <c r="AJ28" s="233"/>
      <c r="AK28" s="233"/>
      <c r="AL28" s="233"/>
    </row>
    <row r="29" spans="1:38" x14ac:dyDescent="0.3">
      <c r="A29" s="36" t="s">
        <v>4</v>
      </c>
      <c r="B29" s="12"/>
      <c r="C29" s="608">
        <v>1823250.0546932162</v>
      </c>
      <c r="D29" s="608">
        <v>1838672.672635844</v>
      </c>
      <c r="E29" s="608">
        <v>1846494.4588797286</v>
      </c>
      <c r="F29" s="608">
        <v>1859686.0967681909</v>
      </c>
      <c r="G29" s="608">
        <v>1867869.2650513691</v>
      </c>
      <c r="H29" s="609">
        <v>1892437.4968119226</v>
      </c>
      <c r="I29" s="14">
        <f t="shared" si="8"/>
        <v>1854735.0074733787</v>
      </c>
      <c r="J29" s="14">
        <f t="shared" si="9"/>
        <v>11128410.044840273</v>
      </c>
      <c r="L29" s="625" t="s">
        <v>319</v>
      </c>
      <c r="M29" s="171"/>
      <c r="N29" s="627"/>
      <c r="O29" s="627"/>
      <c r="P29" s="627"/>
      <c r="Q29" s="627"/>
      <c r="R29" s="627"/>
      <c r="S29" s="627"/>
      <c r="T29" s="171"/>
      <c r="U29" s="171"/>
      <c r="V29" s="171"/>
      <c r="W29" s="171"/>
      <c r="X29" s="171"/>
      <c r="Y29" s="233"/>
      <c r="Z29" s="233"/>
      <c r="AA29" s="233"/>
      <c r="AB29" s="233"/>
      <c r="AC29" s="233"/>
      <c r="AD29" s="233"/>
      <c r="AE29" s="171"/>
      <c r="AF29" s="171"/>
      <c r="AG29" s="233"/>
      <c r="AH29" s="233"/>
      <c r="AI29" s="233"/>
      <c r="AJ29" s="233"/>
      <c r="AK29" s="233"/>
      <c r="AL29" s="233"/>
    </row>
    <row r="30" spans="1:38" x14ac:dyDescent="0.3">
      <c r="A30" s="36" t="s">
        <v>5</v>
      </c>
      <c r="B30" s="12"/>
      <c r="C30" s="608">
        <v>696610.21909914049</v>
      </c>
      <c r="D30" s="608">
        <v>696880.41880786081</v>
      </c>
      <c r="E30" s="608">
        <v>701166.77855930058</v>
      </c>
      <c r="F30" s="608">
        <v>706456.14548384235</v>
      </c>
      <c r="G30" s="608">
        <v>713315.78306153626</v>
      </c>
      <c r="H30" s="609">
        <v>723472.82084416167</v>
      </c>
      <c r="I30" s="14">
        <f t="shared" si="8"/>
        <v>706317.02764264029</v>
      </c>
      <c r="J30" s="14">
        <f t="shared" si="9"/>
        <v>4237902.1658558417</v>
      </c>
      <c r="L30" s="625" t="s">
        <v>318</v>
      </c>
      <c r="M30" s="171"/>
      <c r="N30" s="627"/>
      <c r="O30" s="627"/>
      <c r="P30" s="627"/>
      <c r="Q30" s="627"/>
      <c r="R30" s="627"/>
      <c r="S30" s="627"/>
      <c r="T30" s="171"/>
      <c r="U30" s="171"/>
      <c r="V30" s="171"/>
      <c r="W30" s="171"/>
      <c r="X30" s="171"/>
      <c r="Y30" s="233"/>
      <c r="Z30" s="233"/>
      <c r="AA30" s="233"/>
      <c r="AB30" s="233"/>
      <c r="AC30" s="233"/>
      <c r="AD30" s="233"/>
      <c r="AE30" s="171"/>
      <c r="AF30" s="171"/>
      <c r="AG30" s="233"/>
      <c r="AH30" s="233"/>
      <c r="AI30" s="233"/>
      <c r="AJ30" s="233"/>
      <c r="AK30" s="233"/>
      <c r="AL30" s="233"/>
    </row>
    <row r="31" spans="1:38" ht="12.25" customHeight="1" x14ac:dyDescent="0.3">
      <c r="A31" s="36" t="s">
        <v>176</v>
      </c>
      <c r="B31" s="12"/>
      <c r="C31" s="608">
        <v>187483.04444444444</v>
      </c>
      <c r="D31" s="608">
        <v>288553.44444444444</v>
      </c>
      <c r="E31" s="608">
        <v>336113.44444444444</v>
      </c>
      <c r="F31" s="608">
        <v>375713.44444444444</v>
      </c>
      <c r="G31" s="608">
        <v>399313.44444444444</v>
      </c>
      <c r="H31" s="609">
        <v>250413.84444444443</v>
      </c>
      <c r="I31" s="14">
        <f t="shared" si="8"/>
        <v>306265.11111111112</v>
      </c>
      <c r="J31" s="14">
        <f t="shared" si="9"/>
        <v>1837590.6666666667</v>
      </c>
      <c r="L31" s="625" t="s">
        <v>317</v>
      </c>
      <c r="M31" s="171"/>
      <c r="N31" s="627"/>
      <c r="O31" s="627"/>
      <c r="P31" s="627"/>
      <c r="Q31" s="627"/>
      <c r="R31" s="627"/>
      <c r="S31" s="627"/>
      <c r="T31" s="171"/>
      <c r="U31" s="171"/>
      <c r="V31" s="171"/>
      <c r="W31" s="171"/>
      <c r="X31" s="171"/>
      <c r="Y31" s="233"/>
      <c r="Z31" s="233"/>
      <c r="AA31" s="233"/>
      <c r="AB31" s="233"/>
      <c r="AC31" s="233"/>
      <c r="AD31" s="233"/>
      <c r="AE31" s="171"/>
      <c r="AF31" s="171"/>
      <c r="AG31" s="233"/>
      <c r="AH31" s="233"/>
      <c r="AI31" s="233"/>
      <c r="AJ31" s="233"/>
      <c r="AK31" s="233"/>
      <c r="AL31" s="233"/>
    </row>
    <row r="32" spans="1:38" ht="12.25" customHeight="1" x14ac:dyDescent="0.3">
      <c r="A32" s="36" t="s">
        <v>182</v>
      </c>
      <c r="B32" s="12"/>
      <c r="C32" s="608">
        <v>370000</v>
      </c>
      <c r="D32" s="608">
        <v>370000</v>
      </c>
      <c r="E32" s="608">
        <v>370000</v>
      </c>
      <c r="F32" s="608">
        <v>370000</v>
      </c>
      <c r="G32" s="608">
        <v>370000</v>
      </c>
      <c r="H32" s="609">
        <v>370000</v>
      </c>
      <c r="I32" s="14">
        <f t="shared" si="8"/>
        <v>370000</v>
      </c>
      <c r="J32" s="14">
        <f t="shared" si="9"/>
        <v>2220000</v>
      </c>
      <c r="L32" s="625"/>
      <c r="M32" s="171"/>
      <c r="N32" s="627"/>
      <c r="O32" s="627"/>
      <c r="P32" s="627"/>
      <c r="Q32" s="627"/>
      <c r="R32" s="627"/>
      <c r="S32" s="627"/>
      <c r="T32" s="171"/>
      <c r="U32" s="171"/>
      <c r="V32" s="171"/>
      <c r="W32" s="171"/>
      <c r="X32" s="171"/>
      <c r="Y32" s="233"/>
      <c r="Z32" s="233"/>
      <c r="AA32" s="233"/>
      <c r="AB32" s="233"/>
      <c r="AC32" s="233"/>
      <c r="AD32" s="233"/>
      <c r="AE32" s="171"/>
      <c r="AF32" s="171"/>
      <c r="AG32" s="233"/>
      <c r="AH32" s="233"/>
      <c r="AI32" s="233"/>
      <c r="AJ32" s="233"/>
      <c r="AK32" s="233"/>
      <c r="AL32" s="233"/>
    </row>
    <row r="33" spans="1:38" x14ac:dyDescent="0.3">
      <c r="A33" s="36" t="s">
        <v>6</v>
      </c>
      <c r="B33" s="12"/>
      <c r="C33" s="608">
        <v>3779637.3699819348</v>
      </c>
      <c r="D33" s="608">
        <v>3823027.1345379981</v>
      </c>
      <c r="E33" s="608">
        <v>3749610.4489324689</v>
      </c>
      <c r="F33" s="608">
        <v>3725350.4737544889</v>
      </c>
      <c r="G33" s="608">
        <v>3675882.1979843443</v>
      </c>
      <c r="H33" s="609">
        <v>3705095.414759872</v>
      </c>
      <c r="I33" s="14">
        <f t="shared" si="8"/>
        <v>3743100.5066585173</v>
      </c>
      <c r="J33" s="14">
        <f t="shared" si="9"/>
        <v>22458603.039951105</v>
      </c>
      <c r="L33" s="625" t="s">
        <v>316</v>
      </c>
      <c r="M33" s="598"/>
      <c r="N33" s="627"/>
      <c r="O33" s="627"/>
      <c r="P33" s="627"/>
      <c r="Q33" s="627"/>
      <c r="R33" s="627"/>
      <c r="S33" s="627"/>
      <c r="T33" s="171"/>
      <c r="U33" s="171"/>
      <c r="V33" s="171"/>
      <c r="W33" s="171"/>
      <c r="X33" s="171"/>
      <c r="Y33" s="233"/>
      <c r="Z33" s="233"/>
      <c r="AA33" s="233"/>
      <c r="AB33" s="233"/>
      <c r="AC33" s="233"/>
      <c r="AD33" s="233"/>
      <c r="AE33" s="171"/>
      <c r="AF33" s="171"/>
      <c r="AG33" s="233"/>
      <c r="AH33" s="233"/>
      <c r="AI33" s="233"/>
      <c r="AJ33" s="233"/>
      <c r="AK33" s="233"/>
      <c r="AL33" s="233"/>
    </row>
    <row r="34" spans="1:38" x14ac:dyDescent="0.3">
      <c r="A34" s="36" t="s">
        <v>196</v>
      </c>
      <c r="B34" s="12"/>
      <c r="C34" s="608">
        <v>1890132.6107470202</v>
      </c>
      <c r="D34" s="608">
        <v>1888877.8153365524</v>
      </c>
      <c r="E34" s="608">
        <v>1899360.4439570876</v>
      </c>
      <c r="F34" s="608">
        <v>1912763.4713682709</v>
      </c>
      <c r="G34" s="608">
        <v>1930512.6636955014</v>
      </c>
      <c r="H34" s="609">
        <v>1955920.4542688956</v>
      </c>
      <c r="I34" s="14">
        <f>IFERROR(AVERAGE(C34:H34),0)</f>
        <v>1912927.9098955549</v>
      </c>
      <c r="J34" s="14">
        <f t="shared" si="9"/>
        <v>11477567.459373329</v>
      </c>
      <c r="L34" s="625"/>
      <c r="M34" s="171"/>
      <c r="N34" s="627"/>
      <c r="O34" s="627"/>
      <c r="P34" s="627"/>
      <c r="Q34" s="627"/>
      <c r="R34" s="627"/>
      <c r="S34" s="627"/>
      <c r="T34" s="171"/>
      <c r="U34" s="171"/>
      <c r="V34" s="171"/>
      <c r="W34" s="171"/>
      <c r="X34" s="171"/>
      <c r="Y34" s="233"/>
      <c r="Z34" s="233"/>
      <c r="AA34" s="233"/>
      <c r="AB34" s="233"/>
      <c r="AC34" s="233"/>
      <c r="AD34" s="233"/>
      <c r="AE34" s="171"/>
      <c r="AF34" s="171"/>
      <c r="AG34" s="233"/>
      <c r="AH34" s="233"/>
      <c r="AI34" s="233"/>
      <c r="AJ34" s="233"/>
      <c r="AK34" s="233"/>
      <c r="AL34" s="233"/>
    </row>
    <row r="35" spans="1:38" s="5" customFormat="1" x14ac:dyDescent="0.3">
      <c r="A35" s="303" t="s">
        <v>200</v>
      </c>
      <c r="B35" s="150" t="s">
        <v>87</v>
      </c>
      <c r="C35" s="23">
        <f>SUM(C36:C37)</f>
        <v>31285416.082412221</v>
      </c>
      <c r="D35" s="23">
        <f t="shared" ref="D35:H35" si="12">SUM(D36:D37)</f>
        <v>31511794.110678665</v>
      </c>
      <c r="E35" s="23">
        <f t="shared" si="12"/>
        <v>31832826.023485858</v>
      </c>
      <c r="F35" s="23">
        <f t="shared" si="12"/>
        <v>31947152.918243699</v>
      </c>
      <c r="G35" s="23">
        <f t="shared" si="12"/>
        <v>32385276.702496413</v>
      </c>
      <c r="H35" s="178">
        <f t="shared" si="12"/>
        <v>32571438.409458555</v>
      </c>
      <c r="I35" s="24">
        <f t="shared" si="8"/>
        <v>31922317.374462564</v>
      </c>
      <c r="J35" s="24">
        <f t="shared" si="9"/>
        <v>191533904.24677539</v>
      </c>
      <c r="K35" s="613"/>
      <c r="L35" s="626" t="s">
        <v>321</v>
      </c>
      <c r="M35" s="628"/>
      <c r="N35" s="627"/>
      <c r="O35" s="627"/>
      <c r="P35" s="627"/>
      <c r="Q35" s="627"/>
      <c r="R35" s="627"/>
      <c r="S35" s="627"/>
      <c r="T35" s="171"/>
      <c r="U35" s="171"/>
      <c r="V35" s="171"/>
      <c r="W35" s="171"/>
      <c r="X35" s="171"/>
      <c r="Y35" s="233"/>
      <c r="Z35" s="233"/>
      <c r="AA35" s="233"/>
      <c r="AB35" s="233"/>
      <c r="AC35" s="233"/>
      <c r="AD35" s="233"/>
      <c r="AE35" s="171"/>
      <c r="AF35" s="171"/>
      <c r="AG35" s="233"/>
      <c r="AH35" s="233"/>
      <c r="AI35" s="233"/>
      <c r="AJ35" s="233"/>
      <c r="AK35" s="233"/>
      <c r="AL35" s="233"/>
    </row>
    <row r="36" spans="1:38" x14ac:dyDescent="0.3">
      <c r="A36" s="36" t="s">
        <v>391</v>
      </c>
      <c r="B36" s="553">
        <f>I35/($I$38-5600000)</f>
        <v>0.41682520996916989</v>
      </c>
      <c r="C36" s="608">
        <v>20420233.044816736</v>
      </c>
      <c r="D36" s="608">
        <v>20420233.044816736</v>
      </c>
      <c r="E36" s="608">
        <v>20420233.044816736</v>
      </c>
      <c r="F36" s="608">
        <v>20420233.044816736</v>
      </c>
      <c r="G36" s="608">
        <v>20420233.044816736</v>
      </c>
      <c r="H36" s="609">
        <v>20420233.044816736</v>
      </c>
      <c r="I36" s="14">
        <f t="shared" si="8"/>
        <v>20420233.044816736</v>
      </c>
      <c r="J36" s="14">
        <f t="shared" si="9"/>
        <v>122521398.26890041</v>
      </c>
      <c r="L36" s="624"/>
      <c r="M36" s="171"/>
      <c r="N36" s="627"/>
      <c r="O36" s="627"/>
      <c r="P36" s="627"/>
      <c r="Q36" s="627"/>
      <c r="R36" s="627"/>
      <c r="S36" s="627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 x14ac:dyDescent="0.3">
      <c r="A37" s="36" t="s">
        <v>393</v>
      </c>
      <c r="B37" s="12"/>
      <c r="C37" s="608">
        <v>10865183.037595483</v>
      </c>
      <c r="D37" s="608">
        <v>11091561.065861929</v>
      </c>
      <c r="E37" s="608">
        <v>11412592.978669122</v>
      </c>
      <c r="F37" s="608">
        <v>11526919.873426963</v>
      </c>
      <c r="G37" s="608">
        <v>11965043.657679677</v>
      </c>
      <c r="H37" s="609">
        <v>12151205.364641819</v>
      </c>
      <c r="I37" s="14">
        <f t="shared" si="8"/>
        <v>11502084.329645833</v>
      </c>
      <c r="J37" s="14">
        <f t="shared" si="9"/>
        <v>69012505.977874994</v>
      </c>
      <c r="L37" s="625"/>
      <c r="M37" s="171"/>
      <c r="N37" s="627"/>
      <c r="O37" s="627"/>
      <c r="P37" s="627"/>
      <c r="Q37" s="627"/>
      <c r="R37" s="627"/>
      <c r="S37" s="627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  <row r="38" spans="1:38" s="5" customFormat="1" x14ac:dyDescent="0.3">
      <c r="A38" s="96" t="s">
        <v>208</v>
      </c>
      <c r="B38" s="57"/>
      <c r="C38" s="19">
        <f t="shared" ref="C38:H38" si="13">C21+C25+C35</f>
        <v>81079262.885298938</v>
      </c>
      <c r="D38" s="19">
        <f t="shared" si="13"/>
        <v>81521254.975403994</v>
      </c>
      <c r="E38" s="19">
        <f t="shared" si="13"/>
        <v>81918592.468470529</v>
      </c>
      <c r="F38" s="19">
        <f t="shared" si="13"/>
        <v>82307161.105882347</v>
      </c>
      <c r="G38" s="19">
        <f t="shared" si="13"/>
        <v>82731167.210697487</v>
      </c>
      <c r="H38" s="35">
        <f t="shared" si="13"/>
        <v>83549087.509279519</v>
      </c>
      <c r="I38" s="20">
        <f t="shared" si="8"/>
        <v>82184421.025838792</v>
      </c>
      <c r="J38" s="35">
        <f t="shared" si="9"/>
        <v>493106526.15503275</v>
      </c>
      <c r="K38" s="6"/>
      <c r="L38" s="626"/>
      <c r="M38" s="629"/>
      <c r="N38" s="627"/>
      <c r="O38" s="627"/>
      <c r="P38" s="627"/>
      <c r="Q38" s="627"/>
      <c r="R38" s="627"/>
      <c r="S38" s="627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</row>
    <row r="39" spans="1:38" x14ac:dyDescent="0.3">
      <c r="B39" s="11"/>
      <c r="C39" s="11"/>
      <c r="D39" s="11"/>
      <c r="E39" s="11"/>
      <c r="F39" s="11"/>
      <c r="G39" s="11"/>
      <c r="H39" s="11"/>
      <c r="I39" s="11"/>
      <c r="J39" s="616"/>
      <c r="L39" s="1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233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</row>
    <row r="40" spans="1:38" x14ac:dyDescent="0.3">
      <c r="A40" s="304" t="s">
        <v>202</v>
      </c>
      <c r="B40" s="112"/>
      <c r="C40" s="575">
        <f>IFERROR(C34/C38,"-")</f>
        <v>2.3312158294050471E-2</v>
      </c>
      <c r="D40" s="575">
        <f t="shared" ref="D40:J40" si="14">IFERROR(D34/D38,"-")</f>
        <v>2.31703721429025E-2</v>
      </c>
      <c r="E40" s="575">
        <f t="shared" si="14"/>
        <v>2.3185950670333213E-2</v>
      </c>
      <c r="F40" s="575">
        <f t="shared" si="14"/>
        <v>2.323933234567082E-2</v>
      </c>
      <c r="G40" s="575">
        <f t="shared" si="14"/>
        <v>2.3334768851730622E-2</v>
      </c>
      <c r="H40" s="576">
        <f t="shared" si="14"/>
        <v>2.3410434662756288E-2</v>
      </c>
      <c r="I40" s="577">
        <f t="shared" si="14"/>
        <v>2.327604047115122E-2</v>
      </c>
      <c r="J40" s="577">
        <f t="shared" si="14"/>
        <v>2.3276040471151217E-2</v>
      </c>
      <c r="K40" s="11"/>
      <c r="M40" s="171"/>
      <c r="N40" s="233"/>
      <c r="O40" s="233"/>
      <c r="P40" s="233"/>
      <c r="Q40" s="233"/>
      <c r="R40" s="233"/>
      <c r="S40" s="233"/>
      <c r="T40" s="171"/>
      <c r="U40" s="171"/>
      <c r="V40" s="171"/>
      <c r="W40" s="171"/>
      <c r="X40" s="171"/>
      <c r="Y40" s="171"/>
      <c r="Z40" s="233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</row>
    <row r="41" spans="1:38" x14ac:dyDescent="0.3">
      <c r="C41" s="13"/>
      <c r="D41" s="13"/>
      <c r="E41" s="13"/>
      <c r="F41" s="13"/>
      <c r="G41" s="13"/>
      <c r="H41" s="13"/>
      <c r="I41" s="564"/>
      <c r="J41" s="566"/>
      <c r="L41" s="579"/>
      <c r="M41" s="171"/>
      <c r="N41" s="233"/>
      <c r="O41" s="233"/>
      <c r="P41" s="233"/>
      <c r="Q41" s="233"/>
      <c r="R41" s="233"/>
      <c r="S41" s="233"/>
      <c r="T41" s="171"/>
      <c r="U41" s="171"/>
      <c r="V41" s="171"/>
      <c r="W41" s="171"/>
      <c r="X41" s="171"/>
      <c r="Y41" s="171"/>
      <c r="Z41" s="233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</row>
    <row r="42" spans="1:38" ht="27.65" hidden="1" customHeight="1" outlineLevel="1" x14ac:dyDescent="0.3">
      <c r="A42" s="668" t="s">
        <v>394</v>
      </c>
      <c r="B42" s="678" t="s">
        <v>0</v>
      </c>
      <c r="C42" s="590">
        <v>2024</v>
      </c>
      <c r="D42" s="590">
        <f>C42+1</f>
        <v>2025</v>
      </c>
      <c r="E42" s="590">
        <f t="shared" ref="E42:G42" si="15">D42+1</f>
        <v>2026</v>
      </c>
      <c r="F42" s="590">
        <f t="shared" si="15"/>
        <v>2027</v>
      </c>
      <c r="G42" s="590">
        <f t="shared" si="15"/>
        <v>2028</v>
      </c>
      <c r="H42" s="591">
        <f>G42+1</f>
        <v>2029</v>
      </c>
      <c r="I42" s="179" t="s">
        <v>271</v>
      </c>
      <c r="J42" s="4" t="s">
        <v>62</v>
      </c>
      <c r="L42" s="579"/>
      <c r="M42" s="171"/>
      <c r="N42" s="233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233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</row>
    <row r="43" spans="1:38" hidden="1" outlineLevel="1" x14ac:dyDescent="0.3">
      <c r="A43" s="669"/>
      <c r="B43" s="679"/>
      <c r="C43" s="77">
        <v>12</v>
      </c>
      <c r="D43" s="77">
        <v>12</v>
      </c>
      <c r="E43" s="77">
        <v>12</v>
      </c>
      <c r="F43" s="77">
        <v>12</v>
      </c>
      <c r="G43" s="77">
        <v>12</v>
      </c>
      <c r="H43" s="181">
        <v>12</v>
      </c>
      <c r="I43" s="78">
        <f>IFERROR(AVERAGE(C43:H43),0)</f>
        <v>12</v>
      </c>
      <c r="J43" s="78">
        <f>SUM(C43:H43)</f>
        <v>72</v>
      </c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233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</row>
    <row r="44" spans="1:38" hidden="1" outlineLevel="1" x14ac:dyDescent="0.3">
      <c r="A44" s="302" t="s">
        <v>395</v>
      </c>
      <c r="B44" s="8"/>
      <c r="C44" s="600">
        <f t="shared" ref="C44:H44" si="16">IFERROR(C14/(C38-C34),"-")</f>
        <v>6.6490149539220611E-2</v>
      </c>
      <c r="D44" s="600">
        <f t="shared" si="16"/>
        <v>6.9523986875754465E-2</v>
      </c>
      <c r="E44" s="600">
        <f t="shared" si="16"/>
        <v>7.0767789930201302E-2</v>
      </c>
      <c r="F44" s="600">
        <f t="shared" si="16"/>
        <v>7.1743281176610066E-2</v>
      </c>
      <c r="G44" s="600">
        <f t="shared" si="16"/>
        <v>7.2334921244910033E-2</v>
      </c>
      <c r="H44" s="601">
        <f t="shared" si="16"/>
        <v>7.2435455770559126E-2</v>
      </c>
      <c r="I44" s="469">
        <f>IFERROR(AVERAGE(C44:H44),0)</f>
        <v>7.0549264089542596E-2</v>
      </c>
      <c r="J44" s="469">
        <f>SUM(C44:H44)</f>
        <v>0.42329558453725558</v>
      </c>
      <c r="K44" s="11"/>
      <c r="M44" s="233"/>
      <c r="N44" s="233"/>
      <c r="O44" s="233"/>
      <c r="P44" s="233"/>
      <c r="Q44" s="233"/>
      <c r="R44" s="233"/>
      <c r="S44" s="233"/>
      <c r="T44" s="171"/>
      <c r="U44" s="171"/>
      <c r="V44" s="171"/>
      <c r="W44" s="171"/>
      <c r="X44" s="171"/>
      <c r="Y44" s="171"/>
      <c r="Z44" s="233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</row>
    <row r="45" spans="1:38" hidden="1" outlineLevel="1" x14ac:dyDescent="0.3">
      <c r="A45" s="36" t="s">
        <v>396</v>
      </c>
      <c r="B45" s="12"/>
      <c r="C45" s="470">
        <f t="shared" ref="C45:H45" si="17">IFERROR(C14/C10,"-")</f>
        <v>0.33772274857135498</v>
      </c>
      <c r="D45" s="470">
        <f t="shared" si="17"/>
        <v>0.34101706209517918</v>
      </c>
      <c r="E45" s="470">
        <f t="shared" si="17"/>
        <v>0.34328574526017147</v>
      </c>
      <c r="F45" s="470">
        <f t="shared" si="17"/>
        <v>0.34417141357657</v>
      </c>
      <c r="G45" s="470">
        <f t="shared" si="17"/>
        <v>0.34522823266675529</v>
      </c>
      <c r="H45" s="399">
        <f t="shared" si="17"/>
        <v>0.34603358876407286</v>
      </c>
      <c r="I45" s="471">
        <f>IFERROR(AVERAGE(C45:H45),0)</f>
        <v>0.34290979848901726</v>
      </c>
      <c r="J45" s="471">
        <f>SUM(C45:H45)</f>
        <v>2.0574587909341036</v>
      </c>
      <c r="K45" s="11"/>
      <c r="M45" s="233"/>
      <c r="N45" s="233"/>
      <c r="O45" s="233"/>
      <c r="P45" s="233"/>
      <c r="Q45" s="233"/>
      <c r="R45" s="233"/>
      <c r="S45" s="233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</row>
    <row r="46" spans="1:38" hidden="1" outlineLevel="1" x14ac:dyDescent="0.3">
      <c r="A46" s="36" t="s">
        <v>398</v>
      </c>
      <c r="B46" s="12"/>
      <c r="C46" s="470">
        <f t="shared" ref="C46:H46" si="18">IFERROR((C38-C34)/C10,"-")</f>
        <v>5.0792899536515872</v>
      </c>
      <c r="D46" s="470">
        <f t="shared" si="18"/>
        <v>4.9050274217531138</v>
      </c>
      <c r="E46" s="470">
        <f t="shared" si="18"/>
        <v>4.8508755974823616</v>
      </c>
      <c r="F46" s="470">
        <f t="shared" si="18"/>
        <v>4.7972633524988213</v>
      </c>
      <c r="G46" s="470">
        <f t="shared" si="18"/>
        <v>4.7726357715644552</v>
      </c>
      <c r="H46" s="399">
        <f t="shared" si="18"/>
        <v>4.7771299991559619</v>
      </c>
      <c r="I46" s="471">
        <f>IFERROR(AVERAGE(C46:H46),0)</f>
        <v>4.8637036826843838</v>
      </c>
      <c r="J46" s="471">
        <f>SUM(C46:H46)</f>
        <v>29.182222096106301</v>
      </c>
      <c r="K46" s="11"/>
      <c r="M46" s="233"/>
      <c r="N46" s="233"/>
      <c r="O46" s="233"/>
      <c r="P46" s="233"/>
      <c r="Q46" s="233"/>
      <c r="R46" s="233"/>
      <c r="S46" s="233"/>
      <c r="T46" s="171"/>
      <c r="U46" s="171"/>
      <c r="V46" s="171"/>
      <c r="W46" s="171"/>
      <c r="X46" s="171"/>
      <c r="Y46" s="171"/>
      <c r="Z46" s="602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</row>
    <row r="47" spans="1:38" hidden="1" outlineLevel="1" x14ac:dyDescent="0.3">
      <c r="A47" s="36" t="s">
        <v>478</v>
      </c>
      <c r="B47" s="12"/>
      <c r="C47" s="470">
        <v>0.34305731652614441</v>
      </c>
      <c r="D47" s="470">
        <v>0.36071828086135233</v>
      </c>
      <c r="E47" s="470">
        <v>0.36895535247163336</v>
      </c>
      <c r="F47" s="470">
        <v>0.37579484994398005</v>
      </c>
      <c r="G47" s="470">
        <v>0.38080855387670259</v>
      </c>
      <c r="H47" s="399">
        <v>0.38507807403323213</v>
      </c>
      <c r="I47" s="471">
        <f t="shared" ref="I47:I53" si="19">IFERROR(AVERAGE(C47:H47),0)</f>
        <v>0.36906873795217415</v>
      </c>
      <c r="J47" s="471">
        <f t="shared" ref="J47:J53" si="20">SUM(C47:H47)</f>
        <v>2.2144124277130448</v>
      </c>
      <c r="K47" s="11"/>
      <c r="M47" s="233"/>
      <c r="N47" s="233"/>
      <c r="O47" s="233"/>
      <c r="P47" s="233"/>
      <c r="Q47" s="233"/>
      <c r="R47" s="233"/>
      <c r="S47" s="233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</row>
    <row r="48" spans="1:38" hidden="1" outlineLevel="1" x14ac:dyDescent="0.3">
      <c r="A48" s="36" t="s">
        <v>479</v>
      </c>
      <c r="B48" s="12"/>
      <c r="C48" s="470">
        <v>0.3869313409642921</v>
      </c>
      <c r="D48" s="470">
        <v>0.40685098786802965</v>
      </c>
      <c r="E48" s="470">
        <v>0.41614150875258293</v>
      </c>
      <c r="F48" s="470">
        <v>0.42385571801444921</v>
      </c>
      <c r="G48" s="470">
        <v>0.42951063074311696</v>
      </c>
      <c r="H48" s="399">
        <v>0.43432618511219029</v>
      </c>
      <c r="I48" s="471">
        <f>IFERROR(AVERAGE(C48:H48),0)</f>
        <v>0.41626939524244361</v>
      </c>
      <c r="J48" s="471">
        <f>SUM(C48:H48)</f>
        <v>2.4976163714546615</v>
      </c>
      <c r="K48" s="11"/>
      <c r="M48" s="233"/>
      <c r="N48" s="233"/>
      <c r="O48" s="233"/>
      <c r="P48" s="233"/>
      <c r="Q48" s="233"/>
      <c r="R48" s="233"/>
      <c r="S48" s="233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</row>
    <row r="49" spans="1:38" hidden="1" outlineLevel="1" x14ac:dyDescent="0.3">
      <c r="A49" s="36" t="s">
        <v>472</v>
      </c>
      <c r="B49" s="12"/>
      <c r="C49" s="470">
        <v>1.0157957021768769</v>
      </c>
      <c r="D49" s="470">
        <v>1.0577719444450391</v>
      </c>
      <c r="E49" s="470">
        <v>1.0747762106813006</v>
      </c>
      <c r="F49" s="470">
        <v>1.0918828093210435</v>
      </c>
      <c r="G49" s="470">
        <v>1.1030631849982344</v>
      </c>
      <c r="H49" s="399">
        <v>1.1128343794849926</v>
      </c>
      <c r="I49" s="471">
        <f>IFERROR(AVERAGE(C49:H49),0)</f>
        <v>1.0760207051845809</v>
      </c>
      <c r="J49" s="471">
        <f>SUM(C49:H49)</f>
        <v>6.456124231107486</v>
      </c>
      <c r="K49" s="11"/>
      <c r="M49" s="233"/>
      <c r="N49" s="233"/>
      <c r="O49" s="233"/>
      <c r="P49" s="233"/>
      <c r="Q49" s="233"/>
      <c r="R49" s="233"/>
      <c r="S49" s="233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</row>
    <row r="50" spans="1:38" hidden="1" outlineLevel="1" x14ac:dyDescent="0.3">
      <c r="A50" s="36" t="s">
        <v>477</v>
      </c>
      <c r="B50" s="12"/>
      <c r="C50" s="470">
        <v>1.1457070706699528</v>
      </c>
      <c r="D50" s="470">
        <v>1.1930517064699711</v>
      </c>
      <c r="E50" s="470">
        <v>1.2122306693428098</v>
      </c>
      <c r="F50" s="470">
        <v>1.231525052036756</v>
      </c>
      <c r="G50" s="470">
        <v>1.2441352997850512</v>
      </c>
      <c r="H50" s="399">
        <v>1.2551561444178636</v>
      </c>
      <c r="I50" s="471">
        <f>IFERROR(AVERAGE(C50:H50),0)</f>
        <v>1.2136343237870675</v>
      </c>
      <c r="J50" s="471">
        <f>SUM(C50:H50)</f>
        <v>7.2818059427224044</v>
      </c>
      <c r="K50" s="11"/>
      <c r="M50" s="603"/>
      <c r="N50" s="630"/>
      <c r="O50" s="630"/>
      <c r="P50" s="630"/>
      <c r="Q50" s="630"/>
      <c r="R50" s="630"/>
      <c r="S50" s="630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</row>
    <row r="51" spans="1:38" hidden="1" outlineLevel="1" x14ac:dyDescent="0.3">
      <c r="A51" s="36" t="s">
        <v>471</v>
      </c>
      <c r="B51" s="12"/>
      <c r="C51" s="470">
        <v>5.1595209050294706</v>
      </c>
      <c r="D51" s="470">
        <v>5.1884003934640273</v>
      </c>
      <c r="E51" s="470">
        <v>5.2136056931484829</v>
      </c>
      <c r="F51" s="470">
        <v>5.2380493863793012</v>
      </c>
      <c r="G51" s="470">
        <v>5.2645188150183939</v>
      </c>
      <c r="H51" s="399">
        <v>5.3161544983298681</v>
      </c>
      <c r="I51" s="471">
        <f t="shared" si="19"/>
        <v>5.2300416152282576</v>
      </c>
      <c r="J51" s="471">
        <f t="shared" si="20"/>
        <v>31.380249691369546</v>
      </c>
      <c r="K51" s="11"/>
      <c r="M51" s="233"/>
      <c r="N51" s="233"/>
      <c r="O51" s="233"/>
      <c r="P51" s="233"/>
      <c r="Q51" s="233"/>
      <c r="R51" s="233"/>
      <c r="S51" s="233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</row>
    <row r="52" spans="1:38" hidden="1" outlineLevel="1" x14ac:dyDescent="0.3">
      <c r="A52" s="36" t="s">
        <v>432</v>
      </c>
      <c r="B52" s="12"/>
      <c r="C52" s="470">
        <v>5.2972537004643385</v>
      </c>
      <c r="D52" s="470">
        <v>5.3212353347896073</v>
      </c>
      <c r="E52" s="470">
        <v>5.3285141205794861</v>
      </c>
      <c r="F52" s="470">
        <v>5.3573579977786991</v>
      </c>
      <c r="G52" s="470">
        <v>5.3538341185299787</v>
      </c>
      <c r="H52" s="399">
        <v>5.4208851620407144</v>
      </c>
      <c r="I52" s="471">
        <f t="shared" si="19"/>
        <v>5.3465134056971371</v>
      </c>
      <c r="J52" s="471">
        <f t="shared" si="20"/>
        <v>32.079080434182821</v>
      </c>
      <c r="K52" s="11"/>
      <c r="M52" s="233"/>
      <c r="N52" s="233"/>
      <c r="O52" s="233"/>
      <c r="P52" s="233"/>
      <c r="Q52" s="233"/>
      <c r="R52" s="233"/>
      <c r="S52" s="233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</row>
    <row r="53" spans="1:38" hidden="1" outlineLevel="1" x14ac:dyDescent="0.3">
      <c r="A53" s="36" t="s">
        <v>473</v>
      </c>
      <c r="B53" s="12"/>
      <c r="C53" s="470">
        <v>4.9619748330763578</v>
      </c>
      <c r="D53" s="470">
        <v>4.9978791686958868</v>
      </c>
      <c r="E53" s="470">
        <v>5.048795936680289</v>
      </c>
      <c r="F53" s="470">
        <v>5.0669285762794498</v>
      </c>
      <c r="G53" s="470">
        <v>5.1364165186966924</v>
      </c>
      <c r="H53" s="399">
        <v>5.1659424071296733</v>
      </c>
      <c r="I53" s="471">
        <f t="shared" si="19"/>
        <v>5.0629895734263917</v>
      </c>
      <c r="J53" s="471">
        <f t="shared" si="20"/>
        <v>30.377937440558348</v>
      </c>
      <c r="K53" s="11"/>
      <c r="M53" s="233"/>
      <c r="N53" s="623"/>
      <c r="O53" s="623"/>
      <c r="P53" s="623"/>
      <c r="Q53" s="623"/>
      <c r="R53" s="623"/>
      <c r="S53" s="623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</row>
    <row r="54" spans="1:38" hidden="1" outlineLevel="1" x14ac:dyDescent="0.3">
      <c r="A54" s="36" t="s">
        <v>474</v>
      </c>
      <c r="B54" s="12"/>
      <c r="C54" s="470">
        <v>5.8193784138814797</v>
      </c>
      <c r="D54" s="470">
        <v>5.8519513358045554</v>
      </c>
      <c r="E54" s="470">
        <v>5.8803801724347453</v>
      </c>
      <c r="F54" s="470">
        <v>5.9079499998201337</v>
      </c>
      <c r="G54" s="470">
        <v>5.9378046364202026</v>
      </c>
      <c r="H54" s="399">
        <v>5.9960440711235101</v>
      </c>
      <c r="I54" s="471">
        <f>IFERROR(AVERAGE(C54:H54),0)</f>
        <v>5.8989181049141051</v>
      </c>
      <c r="J54" s="471">
        <f>SUM(C54:H54)</f>
        <v>35.393508629484629</v>
      </c>
      <c r="K54" s="11"/>
      <c r="M54" s="233"/>
      <c r="N54" s="233"/>
      <c r="O54" s="233"/>
      <c r="P54" s="233"/>
      <c r="Q54" s="233"/>
      <c r="R54" s="233"/>
      <c r="S54" s="233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</row>
    <row r="55" spans="1:38" hidden="1" outlineLevel="1" x14ac:dyDescent="0.3">
      <c r="A55" s="36" t="s">
        <v>475</v>
      </c>
      <c r="B55" s="12"/>
      <c r="C55" s="470">
        <v>6.5596366866990943</v>
      </c>
      <c r="D55" s="470">
        <v>6.5893333592056891</v>
      </c>
      <c r="E55" s="470">
        <v>6.5983467448205282</v>
      </c>
      <c r="F55" s="470">
        <v>6.6340643762124349</v>
      </c>
      <c r="G55" s="470">
        <v>6.6297007249873907</v>
      </c>
      <c r="H55" s="399">
        <v>6.7127306325139866</v>
      </c>
      <c r="I55" s="471">
        <f>IFERROR(AVERAGE(C55:H55),0)</f>
        <v>6.6206354207398546</v>
      </c>
      <c r="J55" s="471">
        <f>SUM(C55:H55)</f>
        <v>39.723812524439126</v>
      </c>
      <c r="K55" s="11"/>
      <c r="M55" s="233"/>
      <c r="N55" s="233"/>
      <c r="O55" s="233"/>
      <c r="P55" s="233"/>
      <c r="Q55" s="233"/>
      <c r="R55" s="233"/>
      <c r="S55" s="233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</row>
    <row r="56" spans="1:38" hidden="1" outlineLevel="1" x14ac:dyDescent="0.3">
      <c r="A56" s="59" t="s">
        <v>476</v>
      </c>
      <c r="B56" s="15"/>
      <c r="C56" s="477">
        <v>4.9619748330763578</v>
      </c>
      <c r="D56" s="472">
        <v>4.9978791686958868</v>
      </c>
      <c r="E56" s="472">
        <v>5.048795936680289</v>
      </c>
      <c r="F56" s="472">
        <v>5.0669285762794498</v>
      </c>
      <c r="G56" s="472">
        <v>5.1364165186966924</v>
      </c>
      <c r="H56" s="473">
        <v>5.1659424071296733</v>
      </c>
      <c r="I56" s="474">
        <f t="shared" ref="I56" si="21">IFERROR(AVERAGE(C56:H56),0)</f>
        <v>5.0629895734263917</v>
      </c>
      <c r="J56" s="474">
        <f t="shared" ref="J56" si="22">SUM(C56:H56)</f>
        <v>30.377937440558348</v>
      </c>
      <c r="K56" s="11"/>
      <c r="M56" s="233"/>
      <c r="N56" s="233"/>
      <c r="O56" s="233"/>
      <c r="P56" s="233"/>
      <c r="Q56" s="233"/>
      <c r="R56" s="233"/>
      <c r="S56" s="233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</row>
    <row r="57" spans="1:38" collapsed="1" x14ac:dyDescent="0.3">
      <c r="A57" s="171"/>
      <c r="B57" s="631"/>
      <c r="C57" s="632"/>
      <c r="D57" s="632"/>
      <c r="E57" s="632"/>
      <c r="F57" s="632"/>
      <c r="G57" s="632"/>
      <c r="H57" s="632"/>
      <c r="I57" s="632"/>
      <c r="J57" s="632"/>
      <c r="K57" s="171"/>
      <c r="L57" s="171"/>
    </row>
    <row r="58" spans="1:38" x14ac:dyDescent="0.3">
      <c r="A58" s="171"/>
      <c r="B58" s="631"/>
      <c r="C58" s="632"/>
      <c r="D58" s="632"/>
      <c r="E58" s="632"/>
      <c r="F58" s="632"/>
      <c r="G58" s="632"/>
      <c r="H58" s="632"/>
      <c r="I58" s="632"/>
      <c r="J58" s="632"/>
      <c r="K58" s="171"/>
      <c r="L58" s="171"/>
    </row>
    <row r="59" spans="1:38" x14ac:dyDescent="0.3">
      <c r="A59" s="171"/>
      <c r="B59" s="631"/>
      <c r="C59" s="632"/>
      <c r="D59" s="632"/>
      <c r="E59" s="632"/>
      <c r="F59" s="632"/>
      <c r="G59" s="632"/>
      <c r="H59" s="632"/>
      <c r="I59" s="632"/>
      <c r="J59" s="632"/>
      <c r="K59" s="171"/>
      <c r="L59" s="171"/>
    </row>
    <row r="60" spans="1:38" x14ac:dyDescent="0.3">
      <c r="A60" s="171"/>
      <c r="B60" s="631"/>
      <c r="C60" s="632"/>
      <c r="D60" s="632"/>
      <c r="E60" s="632"/>
      <c r="F60" s="632"/>
      <c r="G60" s="632"/>
      <c r="H60" s="632"/>
      <c r="I60" s="632"/>
      <c r="J60" s="632"/>
      <c r="K60" s="171"/>
      <c r="L60" s="171"/>
    </row>
    <row r="61" spans="1:38" x14ac:dyDescent="0.3">
      <c r="A61" s="171"/>
      <c r="B61" s="631"/>
      <c r="C61" s="632"/>
      <c r="D61" s="632"/>
      <c r="E61" s="632"/>
      <c r="F61" s="632"/>
      <c r="G61" s="632"/>
      <c r="H61" s="632"/>
      <c r="I61" s="632"/>
      <c r="J61" s="632"/>
      <c r="K61" s="171"/>
      <c r="L61" s="171"/>
    </row>
  </sheetData>
  <mergeCells count="12">
    <mergeCell ref="A1:J1"/>
    <mergeCell ref="A3:A4"/>
    <mergeCell ref="B3:B4"/>
    <mergeCell ref="L3:L4"/>
    <mergeCell ref="A12:A13"/>
    <mergeCell ref="B12:B13"/>
    <mergeCell ref="L12:L13"/>
    <mergeCell ref="A19:A20"/>
    <mergeCell ref="B19:B20"/>
    <mergeCell ref="L19:L20"/>
    <mergeCell ref="A42:A43"/>
    <mergeCell ref="B42:B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&amp;L&amp;F&amp;R&amp;A</oddHeader>
    <oddFooter>&amp;L&amp;D&amp;C&amp;P/&amp;N&amp;R&amp;T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F013-F108-4837-A3CC-A5153C2B38D3}">
  <sheetPr codeName="Sheet30">
    <tabColor rgb="FFD975B0"/>
    <pageSetUpPr fitToPage="1"/>
  </sheetPr>
  <dimension ref="A1:S38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outlineLevelRow="1" x14ac:dyDescent="0.3"/>
  <cols>
    <col min="1" max="1" width="30.54296875" style="2" customWidth="1"/>
    <col min="2" max="2" width="26.453125" style="17" customWidth="1"/>
    <col min="3" max="8" width="12.453125" style="28" bestFit="1" customWidth="1"/>
    <col min="9" max="9" width="10.453125" style="28" bestFit="1" customWidth="1"/>
    <col min="10" max="10" width="10.81640625" style="28" bestFit="1" customWidth="1"/>
    <col min="11" max="11" width="3.54296875" style="2" customWidth="1"/>
    <col min="12" max="12" width="11.26953125" style="2"/>
    <col min="13" max="19" width="11.453125" style="2" customWidth="1"/>
    <col min="20" max="16384" width="11.26953125" style="2"/>
  </cols>
  <sheetData>
    <row r="1" spans="1:11" ht="30" customHeight="1" x14ac:dyDescent="0.3">
      <c r="A1" s="680" t="s">
        <v>546</v>
      </c>
      <c r="B1" s="681"/>
      <c r="C1" s="681"/>
      <c r="D1" s="681"/>
      <c r="E1" s="681"/>
      <c r="F1" s="681"/>
      <c r="G1" s="681"/>
      <c r="H1" s="681"/>
      <c r="I1" s="681"/>
      <c r="J1" s="682"/>
    </row>
    <row r="2" spans="1:11" outlineLevel="1" x14ac:dyDescent="0.3"/>
    <row r="3" spans="1:11" ht="27.65" customHeight="1" outlineLevel="1" x14ac:dyDescent="0.3">
      <c r="A3" s="668" t="s">
        <v>375</v>
      </c>
      <c r="B3" s="678" t="s">
        <v>0</v>
      </c>
      <c r="C3" s="590">
        <v>2024</v>
      </c>
      <c r="D3" s="590">
        <f>C3+1</f>
        <v>2025</v>
      </c>
      <c r="E3" s="590">
        <f t="shared" ref="E3:G3" si="0">D3+1</f>
        <v>2026</v>
      </c>
      <c r="F3" s="590">
        <f t="shared" si="0"/>
        <v>2027</v>
      </c>
      <c r="G3" s="590">
        <f t="shared" si="0"/>
        <v>2028</v>
      </c>
      <c r="H3" s="591">
        <f>G3+1</f>
        <v>2029</v>
      </c>
      <c r="I3" s="179" t="s">
        <v>271</v>
      </c>
      <c r="J3" s="4" t="s">
        <v>62</v>
      </c>
    </row>
    <row r="4" spans="1:11" outlineLevel="1" x14ac:dyDescent="0.3">
      <c r="A4" s="669"/>
      <c r="B4" s="679"/>
      <c r="C4" s="77">
        <v>12</v>
      </c>
      <c r="D4" s="77">
        <v>12</v>
      </c>
      <c r="E4" s="77">
        <v>12</v>
      </c>
      <c r="F4" s="77">
        <v>12</v>
      </c>
      <c r="G4" s="77">
        <v>12</v>
      </c>
      <c r="H4" s="181">
        <v>12</v>
      </c>
      <c r="I4" s="78">
        <f t="shared" ref="I4:I9" si="1">IFERROR(AVERAGE(C4:H4),0)</f>
        <v>12</v>
      </c>
      <c r="J4" s="78">
        <f t="shared" ref="J4:J8" si="2">SUM(C4:H4)</f>
        <v>72</v>
      </c>
    </row>
    <row r="5" spans="1:11" outlineLevel="1" x14ac:dyDescent="0.3">
      <c r="A5" s="302" t="s">
        <v>356</v>
      </c>
      <c r="B5" s="8"/>
      <c r="C5" s="646">
        <v>88701.745168389753</v>
      </c>
      <c r="D5" s="646">
        <v>189208.44764129817</v>
      </c>
      <c r="E5" s="646">
        <v>289952.47488152422</v>
      </c>
      <c r="F5" s="646">
        <v>394339.85772630945</v>
      </c>
      <c r="G5" s="646">
        <v>499312.17347961292</v>
      </c>
      <c r="H5" s="647">
        <v>605722.40462663397</v>
      </c>
      <c r="I5" s="10">
        <f t="shared" si="1"/>
        <v>344539.51725396141</v>
      </c>
      <c r="J5" s="10">
        <f t="shared" si="2"/>
        <v>2067237.1035237685</v>
      </c>
      <c r="K5" s="11"/>
    </row>
    <row r="6" spans="1:11" outlineLevel="1" x14ac:dyDescent="0.3">
      <c r="A6" s="36" t="s">
        <v>332</v>
      </c>
      <c r="B6" s="12"/>
      <c r="C6" s="250">
        <v>486.61962058107019</v>
      </c>
      <c r="D6" s="250">
        <v>1014.323904960751</v>
      </c>
      <c r="E6" s="250">
        <v>1542.6682633386954</v>
      </c>
      <c r="F6" s="250">
        <v>2090.1033456573496</v>
      </c>
      <c r="G6" s="250">
        <v>2640.4750337952719</v>
      </c>
      <c r="H6" s="604">
        <v>3198.352260504922</v>
      </c>
      <c r="I6" s="14">
        <f t="shared" si="1"/>
        <v>1828.75707147301</v>
      </c>
      <c r="J6" s="14">
        <f t="shared" si="2"/>
        <v>10972.54242883806</v>
      </c>
      <c r="K6" s="11"/>
    </row>
    <row r="7" spans="1:11" outlineLevel="1" x14ac:dyDescent="0.3">
      <c r="A7" s="36" t="s">
        <v>463</v>
      </c>
      <c r="B7" s="12"/>
      <c r="C7" s="250">
        <v>121.65490514526755</v>
      </c>
      <c r="D7" s="250">
        <v>253.58097624018774</v>
      </c>
      <c r="E7" s="250">
        <v>385.66706583467385</v>
      </c>
      <c r="F7" s="250">
        <v>522.52583641433739</v>
      </c>
      <c r="G7" s="250">
        <v>660.11875844881797</v>
      </c>
      <c r="H7" s="604">
        <v>799.5880651262305</v>
      </c>
      <c r="I7" s="14">
        <f t="shared" si="1"/>
        <v>457.1892678682525</v>
      </c>
      <c r="J7" s="14">
        <f t="shared" si="2"/>
        <v>2743.135607209515</v>
      </c>
      <c r="K7" s="11"/>
    </row>
    <row r="8" spans="1:11" outlineLevel="1" x14ac:dyDescent="0.3">
      <c r="A8" s="36" t="s">
        <v>360</v>
      </c>
      <c r="B8" s="12"/>
      <c r="C8" s="250">
        <v>4270.6765714717039</v>
      </c>
      <c r="D8" s="250">
        <v>4585.9368930315723</v>
      </c>
      <c r="E8" s="250">
        <v>4786.1635082833618</v>
      </c>
      <c r="F8" s="250">
        <v>4990.4641795710031</v>
      </c>
      <c r="G8" s="250">
        <v>5170.8930733888374</v>
      </c>
      <c r="H8" s="604">
        <v>5347.3974525269368</v>
      </c>
      <c r="I8" s="14">
        <f t="shared" si="1"/>
        <v>4858.5886130455692</v>
      </c>
      <c r="J8" s="14">
        <f t="shared" si="2"/>
        <v>29151.531678273415</v>
      </c>
      <c r="K8" s="11"/>
    </row>
    <row r="9" spans="1:11" outlineLevel="1" x14ac:dyDescent="0.3">
      <c r="A9" s="36" t="s">
        <v>532</v>
      </c>
      <c r="B9" s="12"/>
      <c r="C9" s="250">
        <v>8.2773665897548199E-2</v>
      </c>
      <c r="D9" s="250">
        <v>-0.16158526064828038</v>
      </c>
      <c r="E9" s="250">
        <v>-0.19699456309899688</v>
      </c>
      <c r="F9" s="250">
        <v>1.8818658776581287E-2</v>
      </c>
      <c r="G9" s="250">
        <v>0.17773350514471531</v>
      </c>
      <c r="H9" s="604">
        <v>0.42123903660103679</v>
      </c>
      <c r="I9" s="14">
        <f t="shared" si="1"/>
        <v>5.699750711210072E-2</v>
      </c>
      <c r="J9" s="14">
        <f>SUM(C9:H9)</f>
        <v>0.34198504267260432</v>
      </c>
      <c r="K9" s="11"/>
    </row>
    <row r="10" spans="1:11" s="5" customFormat="1" outlineLevel="1" x14ac:dyDescent="0.3">
      <c r="A10" s="96" t="s">
        <v>372</v>
      </c>
      <c r="B10" s="57" t="s">
        <v>336</v>
      </c>
      <c r="C10" s="19">
        <f>SUM(C5:C9)</f>
        <v>93580.779039253684</v>
      </c>
      <c r="D10" s="19">
        <f t="shared" ref="D10:H10" si="3">SUM(D5:D9)</f>
        <v>195062.12783027007</v>
      </c>
      <c r="E10" s="19">
        <f t="shared" si="3"/>
        <v>296666.77672441787</v>
      </c>
      <c r="F10" s="19">
        <f t="shared" si="3"/>
        <v>401942.9699066109</v>
      </c>
      <c r="G10" s="19">
        <f t="shared" si="3"/>
        <v>507783.838078751</v>
      </c>
      <c r="H10" s="35">
        <f t="shared" si="3"/>
        <v>615068.16364382871</v>
      </c>
      <c r="I10" s="20">
        <f>IFERROR(AVERAGE(C10:H10),0)</f>
        <v>351684.10920385533</v>
      </c>
      <c r="J10" s="20">
        <f>SUM(C10:H10)</f>
        <v>2110104.6552231321</v>
      </c>
      <c r="K10" s="6"/>
    </row>
    <row r="11" spans="1:11" outlineLevel="1" x14ac:dyDescent="0.3">
      <c r="C11" s="13"/>
      <c r="D11" s="13"/>
      <c r="E11" s="13"/>
      <c r="F11" s="13"/>
      <c r="G11" s="13"/>
      <c r="H11" s="13"/>
      <c r="I11" s="13"/>
      <c r="J11" s="13"/>
    </row>
    <row r="12" spans="1:11" ht="27.65" customHeight="1" outlineLevel="1" x14ac:dyDescent="0.3">
      <c r="A12" s="668" t="s">
        <v>201</v>
      </c>
      <c r="B12" s="678" t="s">
        <v>0</v>
      </c>
      <c r="C12" s="590">
        <f>Annee</f>
        <v>2024</v>
      </c>
      <c r="D12" s="590">
        <f>C12+1</f>
        <v>2025</v>
      </c>
      <c r="E12" s="590">
        <f t="shared" ref="E12:G12" si="4">D12+1</f>
        <v>2026</v>
      </c>
      <c r="F12" s="590">
        <f t="shared" si="4"/>
        <v>2027</v>
      </c>
      <c r="G12" s="590">
        <f t="shared" si="4"/>
        <v>2028</v>
      </c>
      <c r="H12" s="591">
        <f>G12+1</f>
        <v>2029</v>
      </c>
      <c r="I12" s="179" t="s">
        <v>271</v>
      </c>
      <c r="J12" s="4" t="s">
        <v>62</v>
      </c>
    </row>
    <row r="13" spans="1:11" outlineLevel="1" x14ac:dyDescent="0.3">
      <c r="A13" s="669"/>
      <c r="B13" s="679"/>
      <c r="C13" s="77">
        <v>12</v>
      </c>
      <c r="D13" s="77">
        <v>12</v>
      </c>
      <c r="E13" s="77">
        <v>12</v>
      </c>
      <c r="F13" s="77">
        <v>12</v>
      </c>
      <c r="G13" s="77">
        <v>12</v>
      </c>
      <c r="H13" s="181">
        <v>12</v>
      </c>
      <c r="I13" s="78">
        <f>IFERROR(AVERAGE(C13:H13),0)</f>
        <v>12</v>
      </c>
      <c r="J13" s="78">
        <f t="shared" ref="J13:J17" si="5">SUM(C13:H13)</f>
        <v>72</v>
      </c>
    </row>
    <row r="14" spans="1:11" outlineLevel="1" x14ac:dyDescent="0.3">
      <c r="A14" s="302" t="s">
        <v>66</v>
      </c>
      <c r="B14" s="8"/>
      <c r="C14" s="250">
        <v>0</v>
      </c>
      <c r="D14" s="250">
        <v>0</v>
      </c>
      <c r="E14" s="250">
        <v>0</v>
      </c>
      <c r="F14" s="250">
        <v>0</v>
      </c>
      <c r="G14" s="250">
        <v>0</v>
      </c>
      <c r="H14" s="604">
        <v>0</v>
      </c>
      <c r="I14" s="10">
        <f>IFERROR(AVERAGE(C14:H14),0)</f>
        <v>0</v>
      </c>
      <c r="J14" s="10">
        <f t="shared" si="5"/>
        <v>0</v>
      </c>
      <c r="K14" s="11"/>
    </row>
    <row r="15" spans="1:11" outlineLevel="1" x14ac:dyDescent="0.3">
      <c r="A15" s="36" t="s">
        <v>334</v>
      </c>
      <c r="B15" s="12"/>
      <c r="C15" s="250">
        <v>0</v>
      </c>
      <c r="D15" s="250">
        <v>0</v>
      </c>
      <c r="E15" s="250">
        <v>0</v>
      </c>
      <c r="F15" s="250">
        <v>0</v>
      </c>
      <c r="G15" s="250">
        <v>0</v>
      </c>
      <c r="H15" s="604">
        <v>0</v>
      </c>
      <c r="I15" s="14">
        <f>IFERROR(AVERAGE(C15:H15),0)</f>
        <v>0</v>
      </c>
      <c r="J15" s="14">
        <f t="shared" si="5"/>
        <v>0</v>
      </c>
      <c r="K15" s="11"/>
    </row>
    <row r="16" spans="1:11" outlineLevel="1" x14ac:dyDescent="0.3">
      <c r="A16" s="59" t="s">
        <v>67</v>
      </c>
      <c r="B16" s="15"/>
      <c r="C16" s="250">
        <v>0</v>
      </c>
      <c r="D16" s="250">
        <v>0</v>
      </c>
      <c r="E16" s="250">
        <v>0</v>
      </c>
      <c r="F16" s="250">
        <v>0</v>
      </c>
      <c r="G16" s="250">
        <v>0</v>
      </c>
      <c r="H16" s="604">
        <v>0</v>
      </c>
      <c r="I16" s="16">
        <f>IFERROR(AVERAGE(C16:H16),0)</f>
        <v>0</v>
      </c>
      <c r="J16" s="16">
        <f t="shared" si="5"/>
        <v>0</v>
      </c>
      <c r="K16" s="11"/>
    </row>
    <row r="17" spans="1:19" s="5" customFormat="1" outlineLevel="1" x14ac:dyDescent="0.3">
      <c r="A17" s="96" t="s">
        <v>207</v>
      </c>
      <c r="B17" s="57" t="s">
        <v>336</v>
      </c>
      <c r="C17" s="19">
        <f>SUM(C14:C16)</f>
        <v>0</v>
      </c>
      <c r="D17" s="19">
        <f t="shared" ref="D17:H17" si="6">SUM(D14:D16)</f>
        <v>0</v>
      </c>
      <c r="E17" s="19">
        <f t="shared" si="6"/>
        <v>0</v>
      </c>
      <c r="F17" s="19">
        <f t="shared" si="6"/>
        <v>0</v>
      </c>
      <c r="G17" s="19">
        <f t="shared" si="6"/>
        <v>0</v>
      </c>
      <c r="H17" s="35">
        <f t="shared" si="6"/>
        <v>0</v>
      </c>
      <c r="I17" s="20">
        <f>IFERROR(AVERAGE(C17:H17),0)</f>
        <v>0</v>
      </c>
      <c r="J17" s="20">
        <f t="shared" si="5"/>
        <v>0</v>
      </c>
      <c r="K17" s="6"/>
    </row>
    <row r="18" spans="1:19" x14ac:dyDescent="0.3">
      <c r="C18" s="13"/>
      <c r="D18" s="13"/>
      <c r="E18" s="13"/>
      <c r="F18" s="13"/>
      <c r="G18" s="13"/>
      <c r="H18" s="13"/>
      <c r="I18" s="13"/>
      <c r="J18" s="13"/>
      <c r="K18" s="6"/>
    </row>
    <row r="19" spans="1:19" ht="27.65" customHeight="1" x14ac:dyDescent="0.3">
      <c r="A19" s="668" t="s">
        <v>198</v>
      </c>
      <c r="B19" s="678" t="s">
        <v>0</v>
      </c>
      <c r="C19" s="590">
        <f>Annee</f>
        <v>2024</v>
      </c>
      <c r="D19" s="590">
        <f>C19+1</f>
        <v>2025</v>
      </c>
      <c r="E19" s="590">
        <f t="shared" ref="E19:G19" si="7">D19+1</f>
        <v>2026</v>
      </c>
      <c r="F19" s="590">
        <f t="shared" si="7"/>
        <v>2027</v>
      </c>
      <c r="G19" s="590">
        <f t="shared" si="7"/>
        <v>2028</v>
      </c>
      <c r="H19" s="591">
        <f>G19+1</f>
        <v>2029</v>
      </c>
      <c r="I19" s="179" t="s">
        <v>271</v>
      </c>
      <c r="J19" s="4" t="s">
        <v>62</v>
      </c>
      <c r="K19" s="6"/>
    </row>
    <row r="20" spans="1:19" x14ac:dyDescent="0.3">
      <c r="A20" s="669"/>
      <c r="B20" s="679"/>
      <c r="C20" s="77">
        <v>12</v>
      </c>
      <c r="D20" s="77">
        <v>12</v>
      </c>
      <c r="E20" s="77">
        <v>12</v>
      </c>
      <c r="F20" s="77">
        <v>12</v>
      </c>
      <c r="G20" s="77">
        <v>12</v>
      </c>
      <c r="H20" s="181">
        <v>12</v>
      </c>
      <c r="I20" s="78">
        <f t="shared" ref="I20:I33" si="8">IFERROR(AVERAGE(C20:H20),0)</f>
        <v>12</v>
      </c>
      <c r="J20" s="78">
        <f t="shared" ref="J20:J38" si="9">SUM(C20:H20)</f>
        <v>72</v>
      </c>
      <c r="K20" s="6"/>
    </row>
    <row r="21" spans="1:19" s="5" customFormat="1" x14ac:dyDescent="0.3">
      <c r="A21" s="303" t="s">
        <v>197</v>
      </c>
      <c r="B21" s="150" t="s">
        <v>168</v>
      </c>
      <c r="C21" s="110">
        <f>SUM(C22:C24)</f>
        <v>-432899.9306801334</v>
      </c>
      <c r="D21" s="110">
        <f t="shared" ref="D21:H21" si="10">SUM(D22:D24)</f>
        <v>-393740.89495134912</v>
      </c>
      <c r="E21" s="110">
        <f t="shared" si="10"/>
        <v>-349931.0333001446</v>
      </c>
      <c r="F21" s="110">
        <f t="shared" si="10"/>
        <v>-313586.0898052156</v>
      </c>
      <c r="G21" s="110">
        <f t="shared" si="10"/>
        <v>-317625.93113687821</v>
      </c>
      <c r="H21" s="184">
        <f t="shared" si="10"/>
        <v>-378967.33269014023</v>
      </c>
      <c r="I21" s="24">
        <f t="shared" si="8"/>
        <v>-364458.53542731021</v>
      </c>
      <c r="J21" s="24">
        <f t="shared" si="9"/>
        <v>-2186751.2125638612</v>
      </c>
      <c r="K21" s="6"/>
    </row>
    <row r="22" spans="1:19" x14ac:dyDescent="0.3">
      <c r="A22" s="36" t="s">
        <v>1</v>
      </c>
      <c r="B22" s="554">
        <f>I21/($I$38-5600000)</f>
        <v>5.566433252329555E-2</v>
      </c>
      <c r="C22" s="250">
        <v>-84753.200351338834</v>
      </c>
      <c r="D22" s="250">
        <v>-87632.653937334195</v>
      </c>
      <c r="E22" s="250">
        <v>-78554.597720107064</v>
      </c>
      <c r="F22" s="250">
        <v>-97357.418225385249</v>
      </c>
      <c r="G22" s="250">
        <v>-79982.485369632021</v>
      </c>
      <c r="H22" s="604">
        <v>-94383.538511296734</v>
      </c>
      <c r="I22" s="14">
        <f t="shared" si="8"/>
        <v>-87110.649019182354</v>
      </c>
      <c r="J22" s="14">
        <f t="shared" si="9"/>
        <v>-522663.8941150941</v>
      </c>
      <c r="K22" s="6"/>
    </row>
    <row r="23" spans="1:19" x14ac:dyDescent="0.3">
      <c r="A23" s="36" t="s">
        <v>392</v>
      </c>
      <c r="B23" s="12"/>
      <c r="C23" s="250">
        <v>-347021.73032879457</v>
      </c>
      <c r="D23" s="250">
        <v>-306108.24101401493</v>
      </c>
      <c r="E23" s="250">
        <v>-271376.43558003753</v>
      </c>
      <c r="F23" s="250">
        <v>-216228.67157983035</v>
      </c>
      <c r="G23" s="250">
        <v>-237643.44576724619</v>
      </c>
      <c r="H23" s="604">
        <v>-284583.7941788435</v>
      </c>
      <c r="I23" s="14">
        <f t="shared" si="8"/>
        <v>-277160.38640812784</v>
      </c>
      <c r="J23" s="14">
        <f t="shared" si="9"/>
        <v>-1662962.3184487671</v>
      </c>
      <c r="K23" s="6"/>
    </row>
    <row r="24" spans="1:19" x14ac:dyDescent="0.3">
      <c r="A24" s="36" t="s">
        <v>2</v>
      </c>
      <c r="B24" s="12"/>
      <c r="C24" s="250">
        <v>-1125</v>
      </c>
      <c r="D24" s="250">
        <v>0</v>
      </c>
      <c r="E24" s="250">
        <v>0</v>
      </c>
      <c r="F24" s="250">
        <v>0</v>
      </c>
      <c r="G24" s="250">
        <v>0</v>
      </c>
      <c r="H24" s="604">
        <v>0</v>
      </c>
      <c r="I24" s="14">
        <f t="shared" si="8"/>
        <v>-187.5</v>
      </c>
      <c r="J24" s="14">
        <f t="shared" si="9"/>
        <v>-1125</v>
      </c>
      <c r="K24" s="6"/>
    </row>
    <row r="25" spans="1:19" s="5" customFormat="1" x14ac:dyDescent="0.3">
      <c r="A25" s="303" t="s">
        <v>199</v>
      </c>
      <c r="B25" s="150" t="s">
        <v>86</v>
      </c>
      <c r="C25" s="23">
        <f t="shared" ref="C25:H25" si="11">SUM(C26:C34)</f>
        <v>-892509.77834644576</v>
      </c>
      <c r="D25" s="23">
        <f t="shared" si="11"/>
        <v>-959163.79699031974</v>
      </c>
      <c r="E25" s="23">
        <f t="shared" si="11"/>
        <v>-904455.54146290745</v>
      </c>
      <c r="F25" s="23">
        <f t="shared" si="11"/>
        <v>-934597.77315601974</v>
      </c>
      <c r="G25" s="23">
        <f t="shared" si="11"/>
        <v>-911527.9904706364</v>
      </c>
      <c r="H25" s="178">
        <f t="shared" si="11"/>
        <v>-928148.8062166787</v>
      </c>
      <c r="I25" s="24">
        <f t="shared" si="8"/>
        <v>-921733.94777383469</v>
      </c>
      <c r="J25" s="24">
        <f t="shared" si="9"/>
        <v>-5530403.6866430081</v>
      </c>
      <c r="K25" s="6"/>
    </row>
    <row r="26" spans="1:19" x14ac:dyDescent="0.3">
      <c r="A26" s="36" t="s">
        <v>3</v>
      </c>
      <c r="B26" s="555">
        <f>(I25-5600000)/($I$38-5600000)</f>
        <v>0.99607481183480806</v>
      </c>
      <c r="C26" s="250">
        <v>-149124.87966857036</v>
      </c>
      <c r="D26" s="250">
        <v>-153124.87966857012</v>
      </c>
      <c r="E26" s="250">
        <v>-165124.87966857012</v>
      </c>
      <c r="F26" s="250">
        <v>-174124.87966857012</v>
      </c>
      <c r="G26" s="250">
        <v>-165124.87966857012</v>
      </c>
      <c r="H26" s="604">
        <v>-157124.87966857012</v>
      </c>
      <c r="I26" s="14">
        <f t="shared" si="8"/>
        <v>-160624.87966857015</v>
      </c>
      <c r="J26" s="14">
        <f t="shared" si="9"/>
        <v>-963749.27801142097</v>
      </c>
      <c r="K26" s="6"/>
      <c r="L26" s="543"/>
      <c r="M26" s="11"/>
      <c r="N26" s="11"/>
      <c r="O26" s="11"/>
      <c r="P26" s="11"/>
      <c r="Q26" s="11"/>
      <c r="R26" s="11"/>
    </row>
    <row r="27" spans="1:19" x14ac:dyDescent="0.3">
      <c r="A27" s="36" t="s">
        <v>290</v>
      </c>
      <c r="B27" s="12"/>
      <c r="C27" s="250">
        <v>0</v>
      </c>
      <c r="D27" s="250">
        <v>0</v>
      </c>
      <c r="E27" s="250">
        <v>0</v>
      </c>
      <c r="F27" s="250">
        <v>0</v>
      </c>
      <c r="G27" s="250">
        <v>0</v>
      </c>
      <c r="H27" s="604">
        <v>0</v>
      </c>
      <c r="I27" s="14">
        <f t="shared" si="8"/>
        <v>0</v>
      </c>
      <c r="J27" s="14">
        <f t="shared" si="9"/>
        <v>0</v>
      </c>
      <c r="K27" s="6"/>
      <c r="L27" s="543"/>
      <c r="M27" s="11"/>
      <c r="N27" s="11"/>
      <c r="O27" s="11"/>
      <c r="P27" s="11"/>
      <c r="Q27" s="11"/>
      <c r="R27" s="11"/>
    </row>
    <row r="28" spans="1:19" x14ac:dyDescent="0.3">
      <c r="A28" s="36" t="s">
        <v>166</v>
      </c>
      <c r="B28" s="12"/>
      <c r="C28" s="250">
        <v>-307753.9832871519</v>
      </c>
      <c r="D28" s="250">
        <v>-306878.39757784083</v>
      </c>
      <c r="E28" s="250">
        <v>-306977.36406392045</v>
      </c>
      <c r="F28" s="250">
        <v>-307402.42425886169</v>
      </c>
      <c r="G28" s="250">
        <v>-308246.28232726455</v>
      </c>
      <c r="H28" s="604">
        <v>-309269.69719189964</v>
      </c>
      <c r="I28" s="14">
        <f t="shared" si="8"/>
        <v>-307754.69145115651</v>
      </c>
      <c r="J28" s="14">
        <f t="shared" si="9"/>
        <v>-1846528.1487069391</v>
      </c>
      <c r="K28" s="6"/>
    </row>
    <row r="29" spans="1:19" x14ac:dyDescent="0.3">
      <c r="A29" s="36" t="s">
        <v>4</v>
      </c>
      <c r="B29" s="12"/>
      <c r="C29" s="250">
        <v>-21865.645030593267</v>
      </c>
      <c r="D29" s="250">
        <v>-26565.050998843275</v>
      </c>
      <c r="E29" s="250">
        <v>-21765.905331668444</v>
      </c>
      <c r="F29" s="250">
        <v>-24359.11910507991</v>
      </c>
      <c r="G29" s="250">
        <v>-21604.704396076268</v>
      </c>
      <c r="H29" s="604">
        <v>-25954.653787387302</v>
      </c>
      <c r="I29" s="14">
        <f t="shared" si="8"/>
        <v>-23685.846441608079</v>
      </c>
      <c r="J29" s="14">
        <f t="shared" si="9"/>
        <v>-142115.07864964847</v>
      </c>
      <c r="K29" s="6"/>
    </row>
    <row r="30" spans="1:19" x14ac:dyDescent="0.3">
      <c r="A30" s="36" t="s">
        <v>5</v>
      </c>
      <c r="B30" s="12"/>
      <c r="C30" s="250">
        <v>-9288.016435640282</v>
      </c>
      <c r="D30" s="250">
        <v>-6145.4777693807846</v>
      </c>
      <c r="E30" s="250">
        <v>-6362.1570347243687</v>
      </c>
      <c r="F30" s="250">
        <v>-8401.4743137384066</v>
      </c>
      <c r="G30" s="250">
        <v>-11680.113746211864</v>
      </c>
      <c r="H30" s="604">
        <v>-15754.34412579576</v>
      </c>
      <c r="I30" s="14">
        <f t="shared" si="8"/>
        <v>-9605.2639042485771</v>
      </c>
      <c r="J30" s="14">
        <f t="shared" si="9"/>
        <v>-57631.583425491466</v>
      </c>
      <c r="K30" s="6"/>
      <c r="M30" s="11"/>
      <c r="N30" s="11"/>
      <c r="O30" s="11"/>
      <c r="P30" s="11"/>
      <c r="Q30" s="11"/>
      <c r="R30" s="11"/>
    </row>
    <row r="31" spans="1:19" x14ac:dyDescent="0.3">
      <c r="A31" s="36" t="s">
        <v>176</v>
      </c>
      <c r="B31" s="12"/>
      <c r="C31" s="250">
        <v>-2600</v>
      </c>
      <c r="D31" s="250">
        <v>-40200</v>
      </c>
      <c r="E31" s="250">
        <v>-44800</v>
      </c>
      <c r="F31" s="250">
        <v>-49400</v>
      </c>
      <c r="G31" s="250">
        <v>-52000</v>
      </c>
      <c r="H31" s="604">
        <v>-51999.999999999971</v>
      </c>
      <c r="I31" s="14">
        <f t="shared" si="8"/>
        <v>-40166.666666666664</v>
      </c>
      <c r="J31" s="14">
        <f t="shared" si="9"/>
        <v>-240999.99999999997</v>
      </c>
      <c r="K31" s="6"/>
      <c r="M31" s="11"/>
      <c r="N31" s="11"/>
      <c r="O31" s="11"/>
      <c r="P31" s="11"/>
      <c r="Q31" s="11"/>
      <c r="R31" s="11"/>
      <c r="S31" s="11"/>
    </row>
    <row r="32" spans="1:19" x14ac:dyDescent="0.3">
      <c r="A32" s="36" t="s">
        <v>182</v>
      </c>
      <c r="B32" s="12"/>
      <c r="C32" s="250">
        <v>0</v>
      </c>
      <c r="D32" s="250">
        <v>0</v>
      </c>
      <c r="E32" s="250">
        <v>0</v>
      </c>
      <c r="F32" s="250">
        <v>0</v>
      </c>
      <c r="G32" s="250">
        <v>0</v>
      </c>
      <c r="H32" s="604">
        <v>0</v>
      </c>
      <c r="I32" s="14">
        <f t="shared" si="8"/>
        <v>0</v>
      </c>
      <c r="J32" s="14">
        <f t="shared" si="9"/>
        <v>0</v>
      </c>
      <c r="K32" s="6"/>
    </row>
    <row r="33" spans="1:11" x14ac:dyDescent="0.3">
      <c r="A33" s="36" t="s">
        <v>6</v>
      </c>
      <c r="B33" s="12"/>
      <c r="C33" s="250">
        <v>-329721.1482534688</v>
      </c>
      <c r="D33" s="250">
        <v>-363250.66037759092</v>
      </c>
      <c r="E33" s="250">
        <v>-295360.67956694448</v>
      </c>
      <c r="F33" s="250">
        <v>-300964.39943266148</v>
      </c>
      <c r="G33" s="250">
        <v>-273437.67605284834</v>
      </c>
      <c r="H33" s="604">
        <v>-277275.62081764452</v>
      </c>
      <c r="I33" s="14">
        <f t="shared" si="8"/>
        <v>-306668.36408352642</v>
      </c>
      <c r="J33" s="14">
        <f t="shared" si="9"/>
        <v>-1840010.1845011585</v>
      </c>
      <c r="K33" s="6"/>
    </row>
    <row r="34" spans="1:11" x14ac:dyDescent="0.3">
      <c r="A34" s="36" t="s">
        <v>196</v>
      </c>
      <c r="B34" s="12"/>
      <c r="C34" s="250">
        <v>-72156.105671021156</v>
      </c>
      <c r="D34" s="250">
        <v>-62999.330598093802</v>
      </c>
      <c r="E34" s="250">
        <v>-64064.555797079578</v>
      </c>
      <c r="F34" s="250">
        <v>-69945.476377108134</v>
      </c>
      <c r="G34" s="250">
        <v>-79434.334279665258</v>
      </c>
      <c r="H34" s="604">
        <v>-90769.610625381349</v>
      </c>
      <c r="I34" s="14">
        <f>IFERROR(AVERAGE(C34:H34),0)</f>
        <v>-73228.235558058208</v>
      </c>
      <c r="J34" s="14">
        <f t="shared" si="9"/>
        <v>-439369.41334834928</v>
      </c>
      <c r="K34" s="6"/>
    </row>
    <row r="35" spans="1:11" s="5" customFormat="1" x14ac:dyDescent="0.3">
      <c r="A35" s="303" t="s">
        <v>200</v>
      </c>
      <c r="B35" s="150" t="s">
        <v>87</v>
      </c>
      <c r="C35" s="23">
        <f>SUM(C36:C37)</f>
        <v>342896.29010973126</v>
      </c>
      <c r="D35" s="23">
        <f t="shared" ref="D35:H35" si="12">SUM(D36:D37)</f>
        <v>341425.61269184574</v>
      </c>
      <c r="E35" s="23">
        <f t="shared" si="12"/>
        <v>339340.01106256247</v>
      </c>
      <c r="F35" s="23">
        <f t="shared" si="12"/>
        <v>338597.28004902229</v>
      </c>
      <c r="G35" s="23">
        <f t="shared" si="12"/>
        <v>335750.98458177038</v>
      </c>
      <c r="H35" s="178">
        <f t="shared" si="12"/>
        <v>334541.57472604141</v>
      </c>
      <c r="I35" s="24">
        <f t="shared" ref="I35:I38" si="13">IFERROR(AVERAGE(C35:H35),0)</f>
        <v>338758.62553682894</v>
      </c>
      <c r="J35" s="24">
        <f t="shared" si="9"/>
        <v>2032551.7532209735</v>
      </c>
      <c r="K35" s="6"/>
    </row>
    <row r="36" spans="1:11" x14ac:dyDescent="0.3">
      <c r="A36" s="36" t="s">
        <v>391</v>
      </c>
      <c r="B36" s="553">
        <f>I35/($I$38-5600000)</f>
        <v>-5.1739144358103561E-2</v>
      </c>
      <c r="C36" s="250">
        <v>1075391.6343409792</v>
      </c>
      <c r="D36" s="250">
        <v>1075391.6343409792</v>
      </c>
      <c r="E36" s="250">
        <v>1075391.6343409792</v>
      </c>
      <c r="F36" s="250">
        <v>1075391.6343409792</v>
      </c>
      <c r="G36" s="250">
        <v>1075391.6343409792</v>
      </c>
      <c r="H36" s="604">
        <v>1075391.6343409792</v>
      </c>
      <c r="I36" s="14">
        <f t="shared" si="13"/>
        <v>1075391.6343409792</v>
      </c>
      <c r="J36" s="14">
        <f t="shared" si="9"/>
        <v>6452349.806045875</v>
      </c>
      <c r="K36" s="6"/>
    </row>
    <row r="37" spans="1:11" x14ac:dyDescent="0.3">
      <c r="A37" s="36" t="s">
        <v>393</v>
      </c>
      <c r="B37" s="12"/>
      <c r="C37" s="250">
        <v>-732495.3442312479</v>
      </c>
      <c r="D37" s="250">
        <v>-733966.02164913341</v>
      </c>
      <c r="E37" s="250">
        <v>-736051.62327841669</v>
      </c>
      <c r="F37" s="250">
        <v>-736794.35429195687</v>
      </c>
      <c r="G37" s="250">
        <v>-739640.64975920878</v>
      </c>
      <c r="H37" s="604">
        <v>-740850.05961493775</v>
      </c>
      <c r="I37" s="14">
        <f t="shared" si="13"/>
        <v>-736633.00880415027</v>
      </c>
      <c r="J37" s="14">
        <f t="shared" si="9"/>
        <v>-4419798.0528249014</v>
      </c>
      <c r="K37" s="6"/>
    </row>
    <row r="38" spans="1:11" s="5" customFormat="1" x14ac:dyDescent="0.3">
      <c r="A38" s="96" t="s">
        <v>208</v>
      </c>
      <c r="B38" s="57"/>
      <c r="C38" s="19">
        <f>C21+C25+C35</f>
        <v>-982513.41891684802</v>
      </c>
      <c r="D38" s="19">
        <f t="shared" ref="D38:H38" si="14">D21+D25+D35</f>
        <v>-1011479.079249823</v>
      </c>
      <c r="E38" s="19">
        <f t="shared" si="14"/>
        <v>-915046.5637004897</v>
      </c>
      <c r="F38" s="19">
        <f t="shared" si="14"/>
        <v>-909586.58291221317</v>
      </c>
      <c r="G38" s="19">
        <f t="shared" si="14"/>
        <v>-893402.93702574424</v>
      </c>
      <c r="H38" s="35">
        <f t="shared" si="14"/>
        <v>-972574.56418077741</v>
      </c>
      <c r="I38" s="20">
        <f t="shared" si="13"/>
        <v>-947433.85766431596</v>
      </c>
      <c r="J38" s="35">
        <f t="shared" si="9"/>
        <v>-5684603.1459858958</v>
      </c>
      <c r="K38" s="6"/>
    </row>
  </sheetData>
  <mergeCells count="7">
    <mergeCell ref="A19:A20"/>
    <mergeCell ref="B19:B20"/>
    <mergeCell ref="A1:J1"/>
    <mergeCell ref="A3:A4"/>
    <mergeCell ref="B3:B4"/>
    <mergeCell ref="A12:A13"/>
    <mergeCell ref="B12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&amp;L&amp;F&amp;R&amp;A</oddHeader>
    <oddFooter>&amp;L&amp;D&amp;C&amp;P/&amp;N&amp;R&amp;T</oddFooter>
  </headerFooter>
  <colBreaks count="2" manualBreakCount="2">
    <brk id="2" max="38" man="1"/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97BF-334C-459D-9A83-41616C56AE4D}">
  <sheetPr codeName="Sheet35">
    <tabColor theme="9"/>
    <pageSetUpPr fitToPage="1"/>
  </sheetPr>
  <dimension ref="A1:Z65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outlineLevelRow="1" x14ac:dyDescent="0.3"/>
  <cols>
    <col min="1" max="1" width="40.453125" style="2" bestFit="1" customWidth="1"/>
    <col min="2" max="2" width="11.453125" style="17" customWidth="1"/>
    <col min="3" max="8" width="12.453125" style="28" bestFit="1" customWidth="1"/>
    <col min="9" max="9" width="9.81640625" style="28" bestFit="1" customWidth="1"/>
    <col min="10" max="10" width="10.81640625" style="28" bestFit="1" customWidth="1"/>
    <col min="11" max="11" width="3.54296875" style="2" customWidth="1"/>
    <col min="12" max="12" width="27.453125" style="2" bestFit="1" customWidth="1"/>
    <col min="13" max="13" width="15.54296875" style="171" customWidth="1"/>
    <col min="14" max="14" width="7.81640625" style="171" customWidth="1"/>
    <col min="15" max="26" width="11.26953125" style="171"/>
    <col min="27" max="16384" width="11.26953125" style="2"/>
  </cols>
  <sheetData>
    <row r="1" spans="1:26" ht="30" customHeight="1" x14ac:dyDescent="0.35">
      <c r="A1" s="680" t="s">
        <v>518</v>
      </c>
      <c r="B1" s="681"/>
      <c r="C1" s="681"/>
      <c r="D1" s="681"/>
      <c r="E1" s="681"/>
      <c r="F1" s="681"/>
      <c r="G1" s="681"/>
      <c r="H1" s="681"/>
      <c r="I1" s="681"/>
      <c r="J1" s="682"/>
      <c r="L1"/>
    </row>
    <row r="2" spans="1:26" ht="14.5" x14ac:dyDescent="0.35">
      <c r="L2"/>
    </row>
    <row r="3" spans="1:26" ht="27.65" customHeight="1" x14ac:dyDescent="0.3">
      <c r="A3" s="668" t="s">
        <v>375</v>
      </c>
      <c r="B3" s="678" t="s">
        <v>0</v>
      </c>
      <c r="C3" s="590">
        <v>2024</v>
      </c>
      <c r="D3" s="590">
        <f>C3+1</f>
        <v>2025</v>
      </c>
      <c r="E3" s="590">
        <f t="shared" ref="E3:G3" si="0">D3+1</f>
        <v>2026</v>
      </c>
      <c r="F3" s="590">
        <f t="shared" si="0"/>
        <v>2027</v>
      </c>
      <c r="G3" s="590">
        <f t="shared" si="0"/>
        <v>2028</v>
      </c>
      <c r="H3" s="591">
        <f>G3+1</f>
        <v>2029</v>
      </c>
      <c r="I3" s="179" t="s">
        <v>271</v>
      </c>
      <c r="J3" s="4" t="s">
        <v>62</v>
      </c>
      <c r="L3" s="683" t="s">
        <v>338</v>
      </c>
    </row>
    <row r="4" spans="1:26" x14ac:dyDescent="0.3">
      <c r="A4" s="669"/>
      <c r="B4" s="679"/>
      <c r="C4" s="77">
        <v>12</v>
      </c>
      <c r="D4" s="77">
        <v>12</v>
      </c>
      <c r="E4" s="77">
        <v>12</v>
      </c>
      <c r="F4" s="77">
        <v>12</v>
      </c>
      <c r="G4" s="77">
        <v>12</v>
      </c>
      <c r="H4" s="181">
        <v>12</v>
      </c>
      <c r="I4" s="78">
        <f t="shared" ref="I4:I9" si="1">IFERROR(AVERAGE(C4:H4),0)</f>
        <v>12</v>
      </c>
      <c r="J4" s="78">
        <f t="shared" ref="J4:J9" si="2">SUM(C4:H4)</f>
        <v>72</v>
      </c>
      <c r="L4" s="684"/>
    </row>
    <row r="5" spans="1:26" x14ac:dyDescent="0.3">
      <c r="A5" s="302" t="s">
        <v>356</v>
      </c>
      <c r="B5" s="8"/>
      <c r="C5" s="592">
        <v>12863044.261573385</v>
      </c>
      <c r="D5" s="592">
        <v>13275360.678552747</v>
      </c>
      <c r="E5" s="592">
        <v>13621787.403133079</v>
      </c>
      <c r="F5" s="592">
        <v>13799239.579838011</v>
      </c>
      <c r="G5" s="592">
        <v>13908903.453654667</v>
      </c>
      <c r="H5" s="593">
        <v>14015564.210849795</v>
      </c>
      <c r="I5" s="10">
        <f t="shared" si="1"/>
        <v>13580649.931266947</v>
      </c>
      <c r="J5" s="10">
        <f t="shared" si="2"/>
        <v>81483899.587601677</v>
      </c>
      <c r="K5" s="11"/>
      <c r="L5" s="186"/>
      <c r="M5" s="233"/>
    </row>
    <row r="6" spans="1:26" x14ac:dyDescent="0.3">
      <c r="A6" s="36" t="s">
        <v>332</v>
      </c>
      <c r="B6" s="12"/>
      <c r="C6" s="13">
        <v>67863.84897408892</v>
      </c>
      <c r="D6" s="13">
        <v>70039.179983017748</v>
      </c>
      <c r="E6" s="13">
        <v>71866.885030083518</v>
      </c>
      <c r="F6" s="13">
        <v>72803.101020259535</v>
      </c>
      <c r="G6" s="13">
        <v>73381.674211742647</v>
      </c>
      <c r="H6" s="157">
        <v>73944.403327071603</v>
      </c>
      <c r="I6" s="14">
        <f t="shared" si="1"/>
        <v>71649.848757710657</v>
      </c>
      <c r="J6" s="14">
        <f t="shared" si="2"/>
        <v>429899.09254626394</v>
      </c>
      <c r="K6" s="11"/>
      <c r="L6" s="187"/>
      <c r="M6" s="233"/>
    </row>
    <row r="7" spans="1:26" x14ac:dyDescent="0.3">
      <c r="A7" s="36" t="s">
        <v>463</v>
      </c>
      <c r="B7" s="12"/>
      <c r="C7" s="13">
        <v>16838.571901875988</v>
      </c>
      <c r="D7" s="13">
        <v>17378.321240558711</v>
      </c>
      <c r="E7" s="13">
        <v>17831.816633403127</v>
      </c>
      <c r="F7" s="13">
        <v>18064.11321699779</v>
      </c>
      <c r="G7" s="13">
        <v>18207.67044861025</v>
      </c>
      <c r="H7" s="157">
        <v>18347.296402825774</v>
      </c>
      <c r="I7" s="14">
        <f t="shared" si="1"/>
        <v>17777.964974045273</v>
      </c>
      <c r="J7" s="14">
        <f t="shared" si="2"/>
        <v>106667.78984427164</v>
      </c>
      <c r="K7" s="11"/>
      <c r="L7" s="187"/>
      <c r="M7" s="233"/>
    </row>
    <row r="8" spans="1:26" x14ac:dyDescent="0.3">
      <c r="A8" s="59" t="s">
        <v>360</v>
      </c>
      <c r="B8" s="15"/>
      <c r="C8" s="106">
        <v>11492.651530906614</v>
      </c>
      <c r="D8" s="106">
        <v>11861.040910936326</v>
      </c>
      <c r="E8" s="106">
        <v>12170.560301963294</v>
      </c>
      <c r="F8" s="106">
        <v>12329.107220468666</v>
      </c>
      <c r="G8" s="106">
        <v>12427.087812129164</v>
      </c>
      <c r="H8" s="183">
        <v>12522.385230806967</v>
      </c>
      <c r="I8" s="16">
        <f t="shared" si="1"/>
        <v>12133.805501201838</v>
      </c>
      <c r="J8" s="16">
        <f t="shared" si="2"/>
        <v>72802.833007211026</v>
      </c>
      <c r="K8" s="11"/>
      <c r="L8" s="187"/>
      <c r="M8" s="233"/>
    </row>
    <row r="9" spans="1:26" s="5" customFormat="1" x14ac:dyDescent="0.3">
      <c r="A9" s="96" t="s">
        <v>372</v>
      </c>
      <c r="B9" s="57" t="s">
        <v>336</v>
      </c>
      <c r="C9" s="19">
        <f>SUM(C5:C8)</f>
        <v>12959239.333980257</v>
      </c>
      <c r="D9" s="19">
        <f t="shared" ref="D9:H9" si="3">SUM(D5:D8)</f>
        <v>13374639.220687261</v>
      </c>
      <c r="E9" s="19">
        <f t="shared" si="3"/>
        <v>13723656.665098529</v>
      </c>
      <c r="F9" s="19">
        <f t="shared" si="3"/>
        <v>13902435.901295738</v>
      </c>
      <c r="G9" s="19">
        <f t="shared" si="3"/>
        <v>14012919.88612715</v>
      </c>
      <c r="H9" s="35">
        <f t="shared" si="3"/>
        <v>14120378.2958105</v>
      </c>
      <c r="I9" s="20">
        <f t="shared" si="1"/>
        <v>13682211.550499907</v>
      </c>
      <c r="J9" s="20">
        <f t="shared" si="2"/>
        <v>82093269.302999437</v>
      </c>
      <c r="K9" s="6"/>
      <c r="L9" s="188"/>
      <c r="M9" s="594"/>
      <c r="N9" s="594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4"/>
      <c r="Z9" s="594"/>
    </row>
    <row r="10" spans="1:26" x14ac:dyDescent="0.3">
      <c r="C10" s="13"/>
      <c r="D10" s="13"/>
      <c r="E10" s="13"/>
      <c r="F10" s="13"/>
      <c r="G10" s="13"/>
      <c r="H10" s="13"/>
      <c r="I10" s="13"/>
      <c r="J10" s="13"/>
    </row>
    <row r="11" spans="1:26" ht="27.65" customHeight="1" x14ac:dyDescent="0.3">
      <c r="A11" s="668" t="s">
        <v>201</v>
      </c>
      <c r="B11" s="678" t="s">
        <v>0</v>
      </c>
      <c r="C11" s="590">
        <f>Annee</f>
        <v>2024</v>
      </c>
      <c r="D11" s="590">
        <f>C11+1</f>
        <v>2025</v>
      </c>
      <c r="E11" s="590">
        <f t="shared" ref="E11:G11" si="4">D11+1</f>
        <v>2026</v>
      </c>
      <c r="F11" s="590">
        <f t="shared" si="4"/>
        <v>2027</v>
      </c>
      <c r="G11" s="590">
        <f t="shared" si="4"/>
        <v>2028</v>
      </c>
      <c r="H11" s="591">
        <f>G11+1</f>
        <v>2029</v>
      </c>
      <c r="I11" s="179" t="s">
        <v>271</v>
      </c>
      <c r="J11" s="4" t="s">
        <v>62</v>
      </c>
      <c r="L11" s="683" t="s">
        <v>338</v>
      </c>
    </row>
    <row r="12" spans="1:26" x14ac:dyDescent="0.3">
      <c r="A12" s="669"/>
      <c r="B12" s="679"/>
      <c r="C12" s="77">
        <v>12</v>
      </c>
      <c r="D12" s="77">
        <v>12</v>
      </c>
      <c r="E12" s="77">
        <v>12</v>
      </c>
      <c r="F12" s="77">
        <v>12</v>
      </c>
      <c r="G12" s="77">
        <v>12</v>
      </c>
      <c r="H12" s="181">
        <v>12</v>
      </c>
      <c r="I12" s="78">
        <f>IFERROR(AVERAGE(C12:H12),0)</f>
        <v>12</v>
      </c>
      <c r="J12" s="78">
        <f t="shared" ref="J12:J16" si="5">SUM(C12:H12)</f>
        <v>72</v>
      </c>
      <c r="L12" s="684"/>
    </row>
    <row r="13" spans="1:26" x14ac:dyDescent="0.3">
      <c r="A13" s="302" t="s">
        <v>66</v>
      </c>
      <c r="B13" s="8"/>
      <c r="C13" s="592">
        <v>5101796.2102976404</v>
      </c>
      <c r="D13" s="592">
        <v>5266464.2101429515</v>
      </c>
      <c r="E13" s="592">
        <v>5407499.8792862603</v>
      </c>
      <c r="F13" s="592">
        <v>5479794.8118249504</v>
      </c>
      <c r="G13" s="592">
        <v>5530326.4703255678</v>
      </c>
      <c r="H13" s="593">
        <v>5577089.598996887</v>
      </c>
      <c r="I13" s="10">
        <f>IFERROR(AVERAGE(C13:H13),0)</f>
        <v>5393828.5301457094</v>
      </c>
      <c r="J13" s="10">
        <f t="shared" si="5"/>
        <v>32362971.180874258</v>
      </c>
      <c r="K13" s="11"/>
      <c r="L13" s="186"/>
      <c r="M13" s="233"/>
    </row>
    <row r="14" spans="1:26" x14ac:dyDescent="0.3">
      <c r="A14" s="36" t="s">
        <v>334</v>
      </c>
      <c r="B14" s="12"/>
      <c r="C14" s="13">
        <v>95000</v>
      </c>
      <c r="D14" s="13">
        <v>95000</v>
      </c>
      <c r="E14" s="13">
        <v>95000</v>
      </c>
      <c r="F14" s="13">
        <v>95000</v>
      </c>
      <c r="G14" s="13">
        <v>95000</v>
      </c>
      <c r="H14" s="157">
        <v>95000</v>
      </c>
      <c r="I14" s="14">
        <f>IFERROR(AVERAGE(C14:H14),0)</f>
        <v>95000</v>
      </c>
      <c r="J14" s="14">
        <f t="shared" si="5"/>
        <v>570000</v>
      </c>
      <c r="K14" s="11"/>
      <c r="L14" s="187"/>
      <c r="M14" s="233"/>
    </row>
    <row r="15" spans="1:26" x14ac:dyDescent="0.3">
      <c r="A15" s="59" t="s">
        <v>67</v>
      </c>
      <c r="B15" s="15"/>
      <c r="C15" s="106">
        <v>226000.8</v>
      </c>
      <c r="D15" s="106">
        <v>228568.40000000002</v>
      </c>
      <c r="E15" s="106">
        <v>230567.6</v>
      </c>
      <c r="F15" s="106">
        <v>236194.8</v>
      </c>
      <c r="G15" s="106">
        <v>236292.8</v>
      </c>
      <c r="H15" s="183">
        <v>236332</v>
      </c>
      <c r="I15" s="16">
        <f>IFERROR(AVERAGE(C15:H15),0)</f>
        <v>232326.06666666668</v>
      </c>
      <c r="J15" s="16">
        <f t="shared" si="5"/>
        <v>1393956.4000000001</v>
      </c>
      <c r="K15" s="11"/>
      <c r="L15" s="187"/>
      <c r="M15" s="233"/>
    </row>
    <row r="16" spans="1:26" s="5" customFormat="1" x14ac:dyDescent="0.3">
      <c r="A16" s="96" t="s">
        <v>207</v>
      </c>
      <c r="B16" s="57" t="s">
        <v>336</v>
      </c>
      <c r="C16" s="19">
        <f>SUM(C13:C15)</f>
        <v>5422797.0102976402</v>
      </c>
      <c r="D16" s="19">
        <f t="shared" ref="D16:H16" si="6">SUM(D13:D15)</f>
        <v>5590032.6101429518</v>
      </c>
      <c r="E16" s="19">
        <f t="shared" si="6"/>
        <v>5733067.47928626</v>
      </c>
      <c r="F16" s="19">
        <f t="shared" si="6"/>
        <v>5810989.6118249502</v>
      </c>
      <c r="G16" s="19">
        <f t="shared" si="6"/>
        <v>5861619.2703255676</v>
      </c>
      <c r="H16" s="35">
        <f t="shared" si="6"/>
        <v>5908421.598996887</v>
      </c>
      <c r="I16" s="20">
        <f>IFERROR(AVERAGE(C16:H16),0)</f>
        <v>5721154.5968123758</v>
      </c>
      <c r="J16" s="20">
        <f t="shared" si="5"/>
        <v>34326927.580874257</v>
      </c>
      <c r="K16" s="6"/>
      <c r="L16" s="188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</row>
    <row r="17" spans="1:26" ht="14.5" x14ac:dyDescent="0.35">
      <c r="C17" s="13"/>
      <c r="D17" s="13"/>
      <c r="E17" s="13"/>
      <c r="F17" s="13"/>
      <c r="G17" s="13"/>
      <c r="H17" s="13"/>
      <c r="I17" s="13"/>
      <c r="J17" s="13"/>
      <c r="L17"/>
    </row>
    <row r="18" spans="1:26" ht="27.65" customHeight="1" x14ac:dyDescent="0.3">
      <c r="A18" s="668" t="s">
        <v>198</v>
      </c>
      <c r="B18" s="678" t="s">
        <v>0</v>
      </c>
      <c r="C18" s="590">
        <f>Annee</f>
        <v>2024</v>
      </c>
      <c r="D18" s="590">
        <f>C18+1</f>
        <v>2025</v>
      </c>
      <c r="E18" s="590">
        <f t="shared" ref="E18:G18" si="7">D18+1</f>
        <v>2026</v>
      </c>
      <c r="F18" s="590">
        <f t="shared" si="7"/>
        <v>2027</v>
      </c>
      <c r="G18" s="590">
        <f t="shared" si="7"/>
        <v>2028</v>
      </c>
      <c r="H18" s="591">
        <f>G18+1</f>
        <v>2029</v>
      </c>
      <c r="I18" s="179" t="s">
        <v>271</v>
      </c>
      <c r="J18" s="4" t="s">
        <v>62</v>
      </c>
      <c r="L18" s="685" t="s">
        <v>338</v>
      </c>
      <c r="O18" s="595"/>
      <c r="P18" s="595"/>
      <c r="Q18" s="595"/>
      <c r="R18" s="595"/>
      <c r="S18" s="595"/>
      <c r="T18" s="595"/>
      <c r="W18" s="596"/>
      <c r="X18" s="596"/>
      <c r="Y18" s="596"/>
      <c r="Z18" s="596"/>
    </row>
    <row r="19" spans="1:26" x14ac:dyDescent="0.3">
      <c r="A19" s="669"/>
      <c r="B19" s="679"/>
      <c r="C19" s="77">
        <v>12</v>
      </c>
      <c r="D19" s="77">
        <v>12</v>
      </c>
      <c r="E19" s="77">
        <v>12</v>
      </c>
      <c r="F19" s="77">
        <v>12</v>
      </c>
      <c r="G19" s="77">
        <v>12</v>
      </c>
      <c r="H19" s="181">
        <v>12</v>
      </c>
      <c r="I19" s="78">
        <f t="shared" ref="I19:I37" si="8">IFERROR(AVERAGE(C19:H19),0)</f>
        <v>12</v>
      </c>
      <c r="J19" s="78">
        <f t="shared" ref="J19:J37" si="9">SUM(C19:H19)</f>
        <v>72</v>
      </c>
      <c r="L19" s="685"/>
      <c r="O19" s="233"/>
      <c r="P19" s="233"/>
      <c r="Q19" s="233"/>
      <c r="R19" s="233"/>
      <c r="S19" s="233"/>
      <c r="T19" s="233"/>
    </row>
    <row r="20" spans="1:26" s="5" customFormat="1" x14ac:dyDescent="0.3">
      <c r="A20" s="303" t="s">
        <v>197</v>
      </c>
      <c r="B20" s="150" t="s">
        <v>168</v>
      </c>
      <c r="C20" s="110">
        <f>SUM(C21:C23)</f>
        <v>27883054.2194589</v>
      </c>
      <c r="D20" s="110">
        <f t="shared" ref="D20:H20" si="10">SUM(D21:D23)</f>
        <v>30107297.240962863</v>
      </c>
      <c r="E20" s="110">
        <f t="shared" si="10"/>
        <v>28460924.751777321</v>
      </c>
      <c r="F20" s="110">
        <f t="shared" si="10"/>
        <v>30236888.849301625</v>
      </c>
      <c r="G20" s="110">
        <f t="shared" si="10"/>
        <v>28507777.786116563</v>
      </c>
      <c r="H20" s="184">
        <f t="shared" si="10"/>
        <v>31058060.719390318</v>
      </c>
      <c r="I20" s="24">
        <f t="shared" si="8"/>
        <v>29375667.261167932</v>
      </c>
      <c r="J20" s="24">
        <f t="shared" si="9"/>
        <v>176254003.5670076</v>
      </c>
      <c r="K20" s="552"/>
      <c r="L20" s="187"/>
      <c r="M20" s="597"/>
      <c r="N20" s="171"/>
      <c r="O20" s="233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</row>
    <row r="21" spans="1:26" x14ac:dyDescent="0.3">
      <c r="A21" s="36" t="s">
        <v>1</v>
      </c>
      <c r="B21" s="554">
        <f>I20/($I$37-5600000)</f>
        <v>0.34516744623245843</v>
      </c>
      <c r="C21" s="13">
        <v>8071487.9052037736</v>
      </c>
      <c r="D21" s="13">
        <v>10096208.077212548</v>
      </c>
      <c r="E21" s="13">
        <v>8382422.3895047372</v>
      </c>
      <c r="F21" s="13">
        <v>9934402.1492271237</v>
      </c>
      <c r="G21" s="13">
        <v>8075176.7111954903</v>
      </c>
      <c r="H21" s="157">
        <v>10435949.014115026</v>
      </c>
      <c r="I21" s="14">
        <f t="shared" si="8"/>
        <v>9165941.0410764497</v>
      </c>
      <c r="J21" s="14">
        <f t="shared" si="9"/>
        <v>54995646.246458702</v>
      </c>
      <c r="L21" s="186" t="s">
        <v>320</v>
      </c>
      <c r="O21" s="233"/>
      <c r="P21" s="233"/>
      <c r="Q21" s="233"/>
      <c r="R21" s="233"/>
      <c r="S21" s="233"/>
      <c r="T21" s="233"/>
      <c r="W21" s="233"/>
      <c r="X21" s="233"/>
      <c r="Y21" s="233"/>
      <c r="Z21" s="233"/>
    </row>
    <row r="22" spans="1:26" x14ac:dyDescent="0.3">
      <c r="A22" s="36" t="s">
        <v>392</v>
      </c>
      <c r="B22" s="12"/>
      <c r="C22" s="13">
        <v>19578384.314255126</v>
      </c>
      <c r="D22" s="13">
        <v>19747654.663750317</v>
      </c>
      <c r="E22" s="13">
        <v>19845405.362272583</v>
      </c>
      <c r="F22" s="13">
        <v>20038989.700074501</v>
      </c>
      <c r="G22" s="13">
        <v>20195725.074921072</v>
      </c>
      <c r="H22" s="157">
        <v>20356310.705275293</v>
      </c>
      <c r="I22" s="14">
        <f t="shared" si="8"/>
        <v>19960411.636758149</v>
      </c>
      <c r="J22" s="14">
        <f t="shared" si="9"/>
        <v>119762469.82054889</v>
      </c>
      <c r="L22" s="187" t="s">
        <v>309</v>
      </c>
      <c r="O22" s="233"/>
      <c r="P22" s="233"/>
      <c r="Q22" s="233"/>
      <c r="R22" s="233"/>
      <c r="S22" s="233"/>
      <c r="T22" s="233"/>
      <c r="W22" s="233"/>
      <c r="X22" s="233"/>
      <c r="Y22" s="233"/>
      <c r="Z22" s="233"/>
    </row>
    <row r="23" spans="1:26" x14ac:dyDescent="0.3">
      <c r="A23" s="36" t="s">
        <v>2</v>
      </c>
      <c r="B23" s="12"/>
      <c r="C23" s="13">
        <v>233182</v>
      </c>
      <c r="D23" s="13">
        <v>263434.5</v>
      </c>
      <c r="E23" s="13">
        <v>233097</v>
      </c>
      <c r="F23" s="13">
        <v>263497</v>
      </c>
      <c r="G23" s="13">
        <v>236876</v>
      </c>
      <c r="H23" s="157">
        <v>265801</v>
      </c>
      <c r="I23" s="14">
        <f t="shared" si="8"/>
        <v>249314.58333333334</v>
      </c>
      <c r="J23" s="14">
        <f t="shared" si="9"/>
        <v>1495887.5</v>
      </c>
      <c r="L23" s="187" t="s">
        <v>310</v>
      </c>
      <c r="O23" s="233"/>
      <c r="P23" s="233"/>
      <c r="Q23" s="233"/>
      <c r="R23" s="233"/>
      <c r="S23" s="233"/>
      <c r="T23" s="233"/>
      <c r="W23" s="233"/>
      <c r="X23" s="233"/>
      <c r="Y23" s="233"/>
      <c r="Z23" s="233"/>
    </row>
    <row r="24" spans="1:26" s="5" customFormat="1" x14ac:dyDescent="0.3">
      <c r="A24" s="303" t="s">
        <v>199</v>
      </c>
      <c r="B24" s="150" t="s">
        <v>86</v>
      </c>
      <c r="C24" s="23">
        <f t="shared" ref="C24:H24" si="11">SUM(C25:C33)</f>
        <v>28069008.287069984</v>
      </c>
      <c r="D24" s="23">
        <f t="shared" si="11"/>
        <v>28301611.358255103</v>
      </c>
      <c r="E24" s="23">
        <f t="shared" si="11"/>
        <v>28395908.328863073</v>
      </c>
      <c r="F24" s="23">
        <f t="shared" si="11"/>
        <v>28430711.231501155</v>
      </c>
      <c r="G24" s="23">
        <f t="shared" si="11"/>
        <v>28440199.380500708</v>
      </c>
      <c r="H24" s="178">
        <f t="shared" si="11"/>
        <v>28405832.833854534</v>
      </c>
      <c r="I24" s="24">
        <f t="shared" si="8"/>
        <v>28340545.236674089</v>
      </c>
      <c r="J24" s="24">
        <f t="shared" si="9"/>
        <v>170043271.42004454</v>
      </c>
      <c r="L24" s="188"/>
      <c r="M24" s="597"/>
      <c r="N24" s="594"/>
      <c r="O24" s="595"/>
      <c r="P24" s="595"/>
      <c r="Q24" s="595"/>
      <c r="R24" s="595"/>
      <c r="S24" s="595"/>
      <c r="T24" s="595"/>
      <c r="U24" s="594"/>
      <c r="V24" s="594"/>
      <c r="W24" s="233"/>
      <c r="X24" s="233"/>
      <c r="Y24" s="233"/>
      <c r="Z24" s="233"/>
    </row>
    <row r="25" spans="1:26" x14ac:dyDescent="0.3">
      <c r="A25" s="36" t="s">
        <v>3</v>
      </c>
      <c r="B25" s="555">
        <f>(I24-5600000)/($I$37-5600000)</f>
        <v>0.26720400443984388</v>
      </c>
      <c r="C25" s="13">
        <v>2115110.11</v>
      </c>
      <c r="D25" s="13">
        <v>2013086.75</v>
      </c>
      <c r="E25" s="13">
        <v>2119586.75</v>
      </c>
      <c r="F25" s="13">
        <v>2031086.75</v>
      </c>
      <c r="G25" s="13">
        <v>2084586.75</v>
      </c>
      <c r="H25" s="157">
        <v>2015086.75</v>
      </c>
      <c r="I25" s="14">
        <f t="shared" si="8"/>
        <v>2063090.6433333333</v>
      </c>
      <c r="J25" s="14">
        <f t="shared" si="9"/>
        <v>12378543.859999999</v>
      </c>
      <c r="L25" s="187" t="s">
        <v>318</v>
      </c>
      <c r="O25" s="233"/>
      <c r="P25" s="233"/>
      <c r="Q25" s="233"/>
      <c r="R25" s="233"/>
      <c r="S25" s="233"/>
      <c r="T25" s="233"/>
      <c r="W25" s="233"/>
      <c r="X25" s="233"/>
      <c r="Y25" s="233"/>
      <c r="Z25" s="233"/>
    </row>
    <row r="26" spans="1:26" x14ac:dyDescent="0.3">
      <c r="A26" s="36" t="s">
        <v>290</v>
      </c>
      <c r="B26" s="12"/>
      <c r="C26" s="13">
        <v>771468.80000000005</v>
      </c>
      <c r="D26" s="13">
        <v>771468.80000000005</v>
      </c>
      <c r="E26" s="13">
        <v>771468.80000000005</v>
      </c>
      <c r="F26" s="13">
        <v>771468.80000000005</v>
      </c>
      <c r="G26" s="13">
        <v>771468.80000000005</v>
      </c>
      <c r="H26" s="157">
        <v>771468.80000000005</v>
      </c>
      <c r="I26" s="14">
        <f t="shared" si="8"/>
        <v>771468.79999999993</v>
      </c>
      <c r="J26" s="14">
        <f t="shared" si="9"/>
        <v>4628812.8</v>
      </c>
      <c r="L26" s="187" t="s">
        <v>318</v>
      </c>
      <c r="O26" s="233"/>
      <c r="P26" s="233"/>
      <c r="Q26" s="233"/>
      <c r="R26" s="233"/>
      <c r="S26" s="233"/>
      <c r="T26" s="233"/>
      <c r="W26" s="233"/>
      <c r="X26" s="233"/>
      <c r="Y26" s="233"/>
      <c r="Z26" s="233"/>
    </row>
    <row r="27" spans="1:26" x14ac:dyDescent="0.3">
      <c r="A27" s="36" t="s">
        <v>166</v>
      </c>
      <c r="B27" s="12"/>
      <c r="C27" s="13">
        <v>9777890.9242878798</v>
      </c>
      <c r="D27" s="13">
        <v>9887154.7615898959</v>
      </c>
      <c r="E27" s="13">
        <v>9948832.7280138005</v>
      </c>
      <c r="F27" s="13">
        <v>9920587.1619530264</v>
      </c>
      <c r="G27" s="13">
        <v>10003095.647515038</v>
      </c>
      <c r="H27" s="157">
        <v>10040735.333343867</v>
      </c>
      <c r="I27" s="14">
        <f t="shared" si="8"/>
        <v>9929716.0927839186</v>
      </c>
      <c r="J27" s="14">
        <f t="shared" si="9"/>
        <v>59578296.556703508</v>
      </c>
      <c r="L27" s="187" t="s">
        <v>319</v>
      </c>
      <c r="M27" s="598"/>
      <c r="O27" s="233"/>
      <c r="P27" s="233"/>
      <c r="Q27" s="233"/>
      <c r="R27" s="233"/>
      <c r="S27" s="233"/>
      <c r="T27" s="233"/>
      <c r="W27" s="233"/>
      <c r="X27" s="233"/>
      <c r="Y27" s="233"/>
      <c r="Z27" s="233"/>
    </row>
    <row r="28" spans="1:26" x14ac:dyDescent="0.3">
      <c r="A28" s="36" t="s">
        <v>4</v>
      </c>
      <c r="B28" s="12"/>
      <c r="C28" s="13">
        <v>2216915.0895949523</v>
      </c>
      <c r="D28" s="13">
        <v>2287554.213947725</v>
      </c>
      <c r="E28" s="13">
        <v>2253358.5733077838</v>
      </c>
      <c r="F28" s="13">
        <v>2309500.5992415673</v>
      </c>
      <c r="G28" s="13">
        <v>2270373.4708366608</v>
      </c>
      <c r="H28" s="157">
        <v>2336978.2729634959</v>
      </c>
      <c r="I28" s="14">
        <f t="shared" si="8"/>
        <v>2279113.3699820312</v>
      </c>
      <c r="J28" s="14">
        <f t="shared" si="9"/>
        <v>13674680.219892187</v>
      </c>
      <c r="L28" s="187" t="s">
        <v>319</v>
      </c>
      <c r="O28" s="233"/>
      <c r="P28" s="233"/>
      <c r="Q28" s="233"/>
      <c r="R28" s="233"/>
      <c r="S28" s="233"/>
      <c r="T28" s="233"/>
      <c r="W28" s="233"/>
      <c r="X28" s="233"/>
      <c r="Y28" s="233"/>
      <c r="Z28" s="233"/>
    </row>
    <row r="29" spans="1:26" x14ac:dyDescent="0.3">
      <c r="A29" s="36" t="s">
        <v>5</v>
      </c>
      <c r="B29" s="12"/>
      <c r="C29" s="13">
        <v>1375764.158488506</v>
      </c>
      <c r="D29" s="13">
        <v>1396814.0013803542</v>
      </c>
      <c r="E29" s="13">
        <v>1390666.583429174</v>
      </c>
      <c r="F29" s="13">
        <v>1411601.884621341</v>
      </c>
      <c r="G29" s="13">
        <v>1405646.9385311878</v>
      </c>
      <c r="H29" s="157">
        <v>1428518.5621993621</v>
      </c>
      <c r="I29" s="14">
        <f t="shared" si="8"/>
        <v>1401502.0214416541</v>
      </c>
      <c r="J29" s="14">
        <f t="shared" si="9"/>
        <v>8409012.128649924</v>
      </c>
      <c r="L29" s="187" t="s">
        <v>318</v>
      </c>
      <c r="O29" s="233"/>
      <c r="P29" s="233"/>
      <c r="Q29" s="233"/>
      <c r="R29" s="233"/>
      <c r="S29" s="233"/>
      <c r="T29" s="233"/>
      <c r="W29" s="233"/>
      <c r="X29" s="233"/>
      <c r="Y29" s="233"/>
      <c r="Z29" s="233"/>
    </row>
    <row r="30" spans="1:26" ht="12.25" customHeight="1" x14ac:dyDescent="0.3">
      <c r="A30" s="36" t="s">
        <v>176</v>
      </c>
      <c r="B30" s="12"/>
      <c r="C30" s="13">
        <v>241734.97500000001</v>
      </c>
      <c r="D30" s="13">
        <v>343805.375</v>
      </c>
      <c r="E30" s="13">
        <v>391105.375</v>
      </c>
      <c r="F30" s="13">
        <v>427705.375</v>
      </c>
      <c r="G30" s="13">
        <v>420185.375</v>
      </c>
      <c r="H30" s="157">
        <v>245501.77499999999</v>
      </c>
      <c r="I30" s="14">
        <f t="shared" si="8"/>
        <v>345006.375</v>
      </c>
      <c r="J30" s="14">
        <f t="shared" si="9"/>
        <v>2070038.25</v>
      </c>
      <c r="L30" s="187" t="s">
        <v>317</v>
      </c>
      <c r="O30" s="233"/>
      <c r="P30" s="233"/>
      <c r="Q30" s="233"/>
      <c r="R30" s="233"/>
      <c r="S30" s="233"/>
      <c r="T30" s="233"/>
      <c r="W30" s="233"/>
      <c r="X30" s="233"/>
      <c r="Y30" s="233"/>
      <c r="Z30" s="233"/>
    </row>
    <row r="31" spans="1:26" ht="12.25" customHeight="1" x14ac:dyDescent="0.3">
      <c r="A31" s="36" t="s">
        <v>182</v>
      </c>
      <c r="B31" s="12"/>
      <c r="C31" s="13">
        <v>601365.5</v>
      </c>
      <c r="D31" s="13">
        <v>601365.5</v>
      </c>
      <c r="E31" s="13">
        <v>601365.5</v>
      </c>
      <c r="F31" s="13">
        <v>601365.5</v>
      </c>
      <c r="G31" s="13">
        <v>601365.5</v>
      </c>
      <c r="H31" s="157">
        <v>601365.5</v>
      </c>
      <c r="I31" s="14">
        <f t="shared" si="8"/>
        <v>601365.5</v>
      </c>
      <c r="J31" s="14">
        <f t="shared" si="9"/>
        <v>3608193</v>
      </c>
      <c r="L31" s="187"/>
      <c r="O31" s="233"/>
      <c r="P31" s="233"/>
      <c r="Q31" s="233"/>
      <c r="R31" s="233"/>
      <c r="S31" s="233"/>
      <c r="T31" s="233"/>
      <c r="W31" s="233"/>
      <c r="X31" s="233"/>
      <c r="Y31" s="233"/>
      <c r="Z31" s="233"/>
    </row>
    <row r="32" spans="1:26" x14ac:dyDescent="0.3">
      <c r="A32" s="36" t="s">
        <v>6</v>
      </c>
      <c r="B32" s="12"/>
      <c r="C32" s="13">
        <v>9044950.3632644881</v>
      </c>
      <c r="D32" s="13">
        <v>9038664.9944414776</v>
      </c>
      <c r="E32" s="13">
        <v>8974656.8936324827</v>
      </c>
      <c r="F32" s="13">
        <v>8967634.9216569476</v>
      </c>
      <c r="G32" s="13">
        <v>8908276.5958612468</v>
      </c>
      <c r="H32" s="157">
        <v>8938506.7740950994</v>
      </c>
      <c r="I32" s="14">
        <f t="shared" si="8"/>
        <v>8978781.757158624</v>
      </c>
      <c r="J32" s="14">
        <f t="shared" si="9"/>
        <v>53872690.542951748</v>
      </c>
      <c r="L32" s="187" t="s">
        <v>316</v>
      </c>
      <c r="M32" s="598"/>
      <c r="O32" s="233"/>
      <c r="P32" s="233"/>
      <c r="Q32" s="233"/>
      <c r="R32" s="233"/>
      <c r="S32" s="233"/>
      <c r="T32" s="233"/>
      <c r="W32" s="233"/>
      <c r="X32" s="233"/>
      <c r="Y32" s="233"/>
      <c r="Z32" s="233"/>
    </row>
    <row r="33" spans="1:26" x14ac:dyDescent="0.3">
      <c r="A33" s="36" t="s">
        <v>196</v>
      </c>
      <c r="B33" s="12"/>
      <c r="C33" s="13">
        <v>1923808.3664341583</v>
      </c>
      <c r="D33" s="13">
        <v>1961696.9618956521</v>
      </c>
      <c r="E33" s="13">
        <v>1944867.1254798316</v>
      </c>
      <c r="F33" s="13">
        <v>1989760.2390282706</v>
      </c>
      <c r="G33" s="13">
        <v>1975200.3027565747</v>
      </c>
      <c r="H33" s="157">
        <v>2027671.0662527068</v>
      </c>
      <c r="I33" s="14">
        <f>IFERROR(AVERAGE(C33:H33),0)</f>
        <v>1970500.6769745322</v>
      </c>
      <c r="J33" s="14">
        <f t="shared" si="9"/>
        <v>11823004.061847193</v>
      </c>
      <c r="L33" s="187"/>
      <c r="O33" s="233"/>
      <c r="P33" s="233"/>
      <c r="Q33" s="233"/>
      <c r="R33" s="233"/>
      <c r="S33" s="233"/>
      <c r="T33" s="233"/>
      <c r="W33" s="233"/>
      <c r="X33" s="233"/>
      <c r="Y33" s="233"/>
      <c r="Z33" s="233"/>
    </row>
    <row r="34" spans="1:26" s="5" customFormat="1" x14ac:dyDescent="0.3">
      <c r="A34" s="303" t="s">
        <v>200</v>
      </c>
      <c r="B34" s="150" t="s">
        <v>87</v>
      </c>
      <c r="C34" s="23">
        <f>SUM(C35:C36)</f>
        <v>32419801.774839506</v>
      </c>
      <c r="D34" s="23">
        <f t="shared" ref="D34:H34" si="12">SUM(D35:D36)</f>
        <v>32613608.028661296</v>
      </c>
      <c r="E34" s="23">
        <f t="shared" si="12"/>
        <v>32882323.964952342</v>
      </c>
      <c r="F34" s="23">
        <f t="shared" si="12"/>
        <v>33178141.124014672</v>
      </c>
      <c r="G34" s="23">
        <f t="shared" si="12"/>
        <v>33429358.275491871</v>
      </c>
      <c r="H34" s="178">
        <f t="shared" si="12"/>
        <v>33412825.002097607</v>
      </c>
      <c r="I34" s="24">
        <f t="shared" si="8"/>
        <v>32989343.028342884</v>
      </c>
      <c r="J34" s="24">
        <f t="shared" si="9"/>
        <v>197936058.1700573</v>
      </c>
      <c r="L34" s="188" t="s">
        <v>321</v>
      </c>
      <c r="M34" s="597"/>
      <c r="N34" s="594"/>
      <c r="O34" s="233"/>
      <c r="P34" s="233"/>
      <c r="Q34" s="233"/>
      <c r="R34" s="233"/>
      <c r="S34" s="233"/>
      <c r="T34" s="233"/>
      <c r="U34" s="594"/>
      <c r="V34" s="594"/>
      <c r="W34" s="233"/>
      <c r="X34" s="233"/>
      <c r="Y34" s="233"/>
      <c r="Z34" s="233"/>
    </row>
    <row r="35" spans="1:26" x14ac:dyDescent="0.3">
      <c r="A35" s="36" t="s">
        <v>391</v>
      </c>
      <c r="B35" s="553">
        <f>I34/($I$37-5600000)</f>
        <v>0.38762854932769775</v>
      </c>
      <c r="C35" s="13">
        <v>21452433.575809237</v>
      </c>
      <c r="D35" s="13">
        <v>21458467.280267902</v>
      </c>
      <c r="E35" s="13">
        <v>21367921.678235333</v>
      </c>
      <c r="F35" s="13">
        <v>21342691.604586184</v>
      </c>
      <c r="G35" s="13">
        <v>21323665.516918428</v>
      </c>
      <c r="H35" s="157">
        <v>21239779.082373656</v>
      </c>
      <c r="I35" s="14">
        <f t="shared" si="8"/>
        <v>21364159.789698455</v>
      </c>
      <c r="J35" s="14">
        <f t="shared" si="9"/>
        <v>128184958.73819074</v>
      </c>
      <c r="L35" s="186"/>
    </row>
    <row r="36" spans="1:26" x14ac:dyDescent="0.3">
      <c r="A36" s="36" t="s">
        <v>393</v>
      </c>
      <c r="B36" s="12"/>
      <c r="C36" s="13">
        <v>10967368.199030269</v>
      </c>
      <c r="D36" s="13">
        <v>11155140.748393396</v>
      </c>
      <c r="E36" s="13">
        <v>11514402.286717009</v>
      </c>
      <c r="F36" s="13">
        <v>11835449.519428488</v>
      </c>
      <c r="G36" s="13">
        <v>12105692.758573445</v>
      </c>
      <c r="H36" s="157">
        <v>12173045.91972395</v>
      </c>
      <c r="I36" s="14">
        <f t="shared" si="8"/>
        <v>11625183.238644427</v>
      </c>
      <c r="J36" s="14">
        <f t="shared" si="9"/>
        <v>69751099.431866556</v>
      </c>
      <c r="L36" s="187"/>
    </row>
    <row r="37" spans="1:26" s="5" customFormat="1" x14ac:dyDescent="0.3">
      <c r="A37" s="96" t="s">
        <v>208</v>
      </c>
      <c r="B37" s="57"/>
      <c r="C37" s="19">
        <f t="shared" ref="C37:H37" si="13">C20+C24+C34</f>
        <v>88371864.28136839</v>
      </c>
      <c r="D37" s="19">
        <f t="shared" si="13"/>
        <v>91022516.627879262</v>
      </c>
      <c r="E37" s="19">
        <f t="shared" si="13"/>
        <v>89739157.045592725</v>
      </c>
      <c r="F37" s="19">
        <f t="shared" si="13"/>
        <v>91845741.204817459</v>
      </c>
      <c r="G37" s="19">
        <f t="shared" si="13"/>
        <v>90377335.442109138</v>
      </c>
      <c r="H37" s="35">
        <f t="shared" si="13"/>
        <v>92876718.555342466</v>
      </c>
      <c r="I37" s="20">
        <f t="shared" si="8"/>
        <v>90705555.526184902</v>
      </c>
      <c r="J37" s="35">
        <f t="shared" si="9"/>
        <v>544233333.15710938</v>
      </c>
      <c r="K37" s="6"/>
      <c r="L37" s="188"/>
      <c r="M37" s="599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</row>
    <row r="38" spans="1:26" x14ac:dyDescent="0.3">
      <c r="B38" s="2"/>
      <c r="C38" s="11"/>
      <c r="D38" s="11"/>
      <c r="E38" s="11"/>
      <c r="F38" s="11"/>
      <c r="G38" s="11"/>
      <c r="H38" s="11"/>
      <c r="I38" s="579"/>
      <c r="J38" s="578"/>
      <c r="L38" s="11"/>
      <c r="P38" s="233"/>
    </row>
    <row r="39" spans="1:26" x14ac:dyDescent="0.3">
      <c r="A39" s="304" t="s">
        <v>202</v>
      </c>
      <c r="B39" s="112"/>
      <c r="C39" s="236">
        <f>IFERROR(C33/C37,"-")</f>
        <v>2.176946681026122E-2</v>
      </c>
      <c r="D39" s="236">
        <f t="shared" ref="D39:J39" si="14">IFERROR(D33/D37,"-")</f>
        <v>2.1551776797333732E-2</v>
      </c>
      <c r="E39" s="236">
        <f t="shared" si="14"/>
        <v>2.1672447006513842E-2</v>
      </c>
      <c r="F39" s="236">
        <f t="shared" si="14"/>
        <v>2.1664153535340017E-2</v>
      </c>
      <c r="G39" s="236">
        <f t="shared" si="14"/>
        <v>2.1855040238730892E-2</v>
      </c>
      <c r="H39" s="237">
        <f t="shared" si="14"/>
        <v>2.1831855149409461E-2</v>
      </c>
      <c r="I39" s="239">
        <f t="shared" si="14"/>
        <v>2.1724145401498453E-2</v>
      </c>
      <c r="J39" s="239">
        <f t="shared" si="14"/>
        <v>2.1724145401498453E-2</v>
      </c>
      <c r="K39" s="11"/>
      <c r="P39" s="233"/>
    </row>
    <row r="40" spans="1:26" x14ac:dyDescent="0.3">
      <c r="C40" s="551"/>
      <c r="D40" s="551"/>
      <c r="E40" s="551"/>
      <c r="F40" s="551"/>
      <c r="G40" s="551"/>
      <c r="H40" s="13"/>
      <c r="I40" s="564"/>
      <c r="J40" s="566"/>
      <c r="L40" s="11"/>
      <c r="P40" s="233"/>
    </row>
    <row r="41" spans="1:26" ht="27.65" customHeight="1" outlineLevel="1" x14ac:dyDescent="0.3">
      <c r="A41" s="668" t="s">
        <v>394</v>
      </c>
      <c r="B41" s="678" t="s">
        <v>0</v>
      </c>
      <c r="C41" s="590">
        <v>2024</v>
      </c>
      <c r="D41" s="590">
        <f>C41+1</f>
        <v>2025</v>
      </c>
      <c r="E41" s="590">
        <f t="shared" ref="E41:G41" si="15">D41+1</f>
        <v>2026</v>
      </c>
      <c r="F41" s="590">
        <f t="shared" si="15"/>
        <v>2027</v>
      </c>
      <c r="G41" s="590">
        <f t="shared" si="15"/>
        <v>2028</v>
      </c>
      <c r="H41" s="591">
        <f>G41+1</f>
        <v>2029</v>
      </c>
      <c r="I41" s="179" t="s">
        <v>271</v>
      </c>
      <c r="J41" s="4" t="s">
        <v>62</v>
      </c>
      <c r="L41" s="11"/>
      <c r="P41" s="233"/>
    </row>
    <row r="42" spans="1:26" outlineLevel="1" x14ac:dyDescent="0.3">
      <c r="A42" s="669"/>
      <c r="B42" s="679"/>
      <c r="C42" s="77">
        <v>12</v>
      </c>
      <c r="D42" s="77">
        <v>12</v>
      </c>
      <c r="E42" s="77">
        <v>12</v>
      </c>
      <c r="F42" s="77">
        <v>12</v>
      </c>
      <c r="G42" s="77">
        <v>12</v>
      </c>
      <c r="H42" s="181">
        <v>12</v>
      </c>
      <c r="I42" s="78">
        <f>IFERROR(AVERAGE(C42:H42),0)</f>
        <v>12</v>
      </c>
      <c r="J42" s="78">
        <f>SUM(C42:H42)</f>
        <v>72</v>
      </c>
      <c r="P42" s="233"/>
    </row>
    <row r="43" spans="1:26" outlineLevel="1" x14ac:dyDescent="0.3">
      <c r="A43" s="302" t="s">
        <v>395</v>
      </c>
      <c r="B43" s="8"/>
      <c r="C43" s="600">
        <f t="shared" ref="C43:H43" si="16">IFERROR(C13/(C37-C33),"-")</f>
        <v>5.9015742532346357E-2</v>
      </c>
      <c r="D43" s="600">
        <f t="shared" si="16"/>
        <v>5.9133345391323117E-2</v>
      </c>
      <c r="E43" s="600">
        <f t="shared" si="16"/>
        <v>6.1592842589270148E-2</v>
      </c>
      <c r="F43" s="600">
        <f t="shared" si="16"/>
        <v>6.0984196632512082E-2</v>
      </c>
      <c r="G43" s="600">
        <f t="shared" si="16"/>
        <v>6.2558743197863337E-2</v>
      </c>
      <c r="H43" s="601">
        <f t="shared" si="16"/>
        <v>6.1388531340041304E-2</v>
      </c>
      <c r="I43" s="469">
        <f>IFERROR(AVERAGE(C43:H43),0)</f>
        <v>6.0778900280559399E-2</v>
      </c>
      <c r="J43" s="469">
        <f>SUM(C43:H43)</f>
        <v>0.36467340168335638</v>
      </c>
      <c r="K43" s="11"/>
      <c r="L43" s="11"/>
      <c r="M43" s="233"/>
      <c r="P43" s="233"/>
    </row>
    <row r="44" spans="1:26" outlineLevel="1" x14ac:dyDescent="0.3">
      <c r="A44" s="36" t="s">
        <v>396</v>
      </c>
      <c r="B44" s="12"/>
      <c r="C44" s="470">
        <f t="shared" ref="C44:H44" si="17">IFERROR(C13/C9,"-")</f>
        <v>0.39368022140931413</v>
      </c>
      <c r="D44" s="470">
        <f t="shared" si="17"/>
        <v>0.39376495494525438</v>
      </c>
      <c r="E44" s="470">
        <f t="shared" si="17"/>
        <v>0.39402762771225575</v>
      </c>
      <c r="F44" s="470">
        <f t="shared" si="17"/>
        <v>0.39416076799276745</v>
      </c>
      <c r="G44" s="470">
        <f t="shared" si="17"/>
        <v>0.39465910854172614</v>
      </c>
      <c r="H44" s="399">
        <f t="shared" si="17"/>
        <v>0.39496743516082733</v>
      </c>
      <c r="I44" s="471">
        <f>IFERROR(AVERAGE(C44:H44),0)</f>
        <v>0.39421001929369082</v>
      </c>
      <c r="J44" s="471">
        <f>SUM(C44:H44)</f>
        <v>2.3652601157621449</v>
      </c>
      <c r="K44" s="11"/>
      <c r="L44" s="579"/>
      <c r="M44" s="233"/>
    </row>
    <row r="45" spans="1:26" outlineLevel="1" x14ac:dyDescent="0.3">
      <c r="A45" s="36" t="s">
        <v>398</v>
      </c>
      <c r="B45" s="12"/>
      <c r="C45" s="470">
        <f t="shared" ref="C45:H45" si="18">IFERROR((C37-C33)/C9,"-")</f>
        <v>6.6707662145153757</v>
      </c>
      <c r="D45" s="470">
        <f t="shared" si="18"/>
        <v>6.658932491295058</v>
      </c>
      <c r="E45" s="470">
        <f t="shared" si="18"/>
        <v>6.3972957107989972</v>
      </c>
      <c r="F45" s="470">
        <f t="shared" si="18"/>
        <v>6.4633263986071965</v>
      </c>
      <c r="G45" s="470">
        <f t="shared" si="18"/>
        <v>6.3086163239162634</v>
      </c>
      <c r="H45" s="399">
        <f t="shared" si="18"/>
        <v>6.4338961454060026</v>
      </c>
      <c r="I45" s="471">
        <f>IFERROR(AVERAGE(C45:H45),0)</f>
        <v>6.4888055474231487</v>
      </c>
      <c r="J45" s="471">
        <f>SUM(C45:H45)</f>
        <v>38.932833284538894</v>
      </c>
      <c r="K45" s="11"/>
      <c r="M45" s="233"/>
      <c r="P45" s="602"/>
    </row>
    <row r="46" spans="1:26" outlineLevel="1" x14ac:dyDescent="0.3">
      <c r="A46" s="36" t="s">
        <v>478</v>
      </c>
      <c r="B46" s="12"/>
      <c r="C46" s="470">
        <v>0.32612493769071599</v>
      </c>
      <c r="D46" s="470">
        <v>0.33665110121736019</v>
      </c>
      <c r="E46" s="470">
        <v>0.34566660221261591</v>
      </c>
      <c r="F46" s="470">
        <v>0.35028795112536665</v>
      </c>
      <c r="G46" s="470">
        <v>0.35351811424843677</v>
      </c>
      <c r="H46" s="399">
        <v>0.35650737955726558</v>
      </c>
      <c r="I46" s="471">
        <f t="shared" ref="I46:I52" si="19">IFERROR(AVERAGE(C46:H46),0)</f>
        <v>0.34479268100862687</v>
      </c>
      <c r="J46" s="471">
        <f t="shared" ref="J46:J52" si="20">SUM(C46:H46)</f>
        <v>2.0687560860517613</v>
      </c>
      <c r="K46" s="11"/>
      <c r="M46" s="233"/>
    </row>
    <row r="47" spans="1:26" outlineLevel="1" x14ac:dyDescent="0.3">
      <c r="A47" s="36" t="s">
        <v>479</v>
      </c>
      <c r="B47" s="12"/>
      <c r="C47" s="470">
        <v>0.36937929235957373</v>
      </c>
      <c r="D47" s="470">
        <v>0.38130155400035731</v>
      </c>
      <c r="E47" s="470">
        <v>0.39151279206597489</v>
      </c>
      <c r="F47" s="470">
        <v>0.3967470762124925</v>
      </c>
      <c r="G47" s="470">
        <v>0.40040565987387805</v>
      </c>
      <c r="H47" s="399">
        <v>0.40379139514536277</v>
      </c>
      <c r="I47" s="471">
        <f>IFERROR(AVERAGE(C47:H47),0)</f>
        <v>0.39052296160960659</v>
      </c>
      <c r="J47" s="471">
        <f>SUM(C47:H47)</f>
        <v>2.3431377696576394</v>
      </c>
      <c r="K47" s="11"/>
      <c r="M47" s="233"/>
    </row>
    <row r="48" spans="1:26" outlineLevel="1" x14ac:dyDescent="0.3">
      <c r="A48" s="36" t="s">
        <v>472</v>
      </c>
      <c r="B48" s="12"/>
      <c r="C48" s="470">
        <v>0.82840061541125765</v>
      </c>
      <c r="D48" s="470">
        <v>0.85495445186117491</v>
      </c>
      <c r="E48" s="470">
        <v>0.87726488677855829</v>
      </c>
      <c r="F48" s="470">
        <v>0.88869309066242264</v>
      </c>
      <c r="G48" s="470">
        <v>0.89575561946281623</v>
      </c>
      <c r="H48" s="399">
        <v>0.90262474275151028</v>
      </c>
      <c r="I48" s="471">
        <f>IFERROR(AVERAGE(C48:H48),0)</f>
        <v>0.87461556782129002</v>
      </c>
      <c r="J48" s="471">
        <f>SUM(C48:H48)</f>
        <v>5.2476934069277403</v>
      </c>
      <c r="K48" s="11"/>
      <c r="M48" s="233"/>
    </row>
    <row r="49" spans="1:13" outlineLevel="1" x14ac:dyDescent="0.3">
      <c r="A49" s="36" t="s">
        <v>477</v>
      </c>
      <c r="B49" s="12"/>
      <c r="C49" s="470">
        <v>0.93827241571154651</v>
      </c>
      <c r="D49" s="470">
        <v>0.96834812039931317</v>
      </c>
      <c r="E49" s="470">
        <v>0.99361761595022635</v>
      </c>
      <c r="F49" s="470">
        <v>1.0065615566787522</v>
      </c>
      <c r="G49" s="470">
        <v>1.0145607974268869</v>
      </c>
      <c r="H49" s="399">
        <v>1.0223409810506083</v>
      </c>
      <c r="I49" s="471">
        <f>IFERROR(AVERAGE(C49:H49),0)</f>
        <v>0.99061691453622236</v>
      </c>
      <c r="J49" s="471">
        <f>SUM(C49:H49)</f>
        <v>5.9437014872173339</v>
      </c>
      <c r="K49" s="11"/>
      <c r="M49" s="603"/>
    </row>
    <row r="50" spans="1:13" outlineLevel="1" x14ac:dyDescent="0.3">
      <c r="A50" s="36" t="s">
        <v>471</v>
      </c>
      <c r="B50" s="12"/>
      <c r="C50" s="470">
        <v>5.5260668373691626</v>
      </c>
      <c r="D50" s="470">
        <v>5.6930839780757347</v>
      </c>
      <c r="E50" s="470">
        <v>5.6121228974230384</v>
      </c>
      <c r="F50" s="470">
        <v>5.7439135131382555</v>
      </c>
      <c r="G50" s="470">
        <v>5.6509785231828467</v>
      </c>
      <c r="H50" s="399">
        <v>5.8073938531370271</v>
      </c>
      <c r="I50" s="471">
        <f t="shared" si="19"/>
        <v>5.6722599337210111</v>
      </c>
      <c r="J50" s="471">
        <f t="shared" si="20"/>
        <v>34.033559602326065</v>
      </c>
      <c r="K50" s="11"/>
      <c r="M50" s="233"/>
    </row>
    <row r="51" spans="1:13" outlineLevel="1" x14ac:dyDescent="0.3">
      <c r="A51" s="36" t="s">
        <v>432</v>
      </c>
      <c r="B51" s="12"/>
      <c r="C51" s="470">
        <v>5.9346888197626031</v>
      </c>
      <c r="D51" s="470">
        <v>6.2003972022147398</v>
      </c>
      <c r="E51" s="470">
        <v>6.0317594120339022</v>
      </c>
      <c r="F51" s="470">
        <v>6.2257303662835852</v>
      </c>
      <c r="G51" s="470">
        <v>6.0384391359251559</v>
      </c>
      <c r="H51" s="399">
        <v>6.3090342797138561</v>
      </c>
      <c r="I51" s="471">
        <f t="shared" si="19"/>
        <v>6.123341535988974</v>
      </c>
      <c r="J51" s="471">
        <f t="shared" si="20"/>
        <v>36.740049215933844</v>
      </c>
      <c r="K51" s="11"/>
      <c r="M51" s="233"/>
    </row>
    <row r="52" spans="1:13" outlineLevel="1" x14ac:dyDescent="0.3">
      <c r="A52" s="36" t="s">
        <v>473</v>
      </c>
      <c r="B52" s="12"/>
      <c r="C52" s="470">
        <v>4.9572467907447564</v>
      </c>
      <c r="D52" s="470">
        <v>4.9868813158555767</v>
      </c>
      <c r="E52" s="470">
        <v>5.02797013009486</v>
      </c>
      <c r="F52" s="470">
        <v>5.0732029378891097</v>
      </c>
      <c r="G52" s="470">
        <v>5.1116160480798953</v>
      </c>
      <c r="H52" s="399">
        <v>5.1090879784438314</v>
      </c>
      <c r="I52" s="471">
        <f t="shared" si="19"/>
        <v>5.0443342001846716</v>
      </c>
      <c r="J52" s="471">
        <f t="shared" si="20"/>
        <v>30.26600520110803</v>
      </c>
      <c r="K52" s="11"/>
      <c r="M52" s="233"/>
    </row>
    <row r="53" spans="1:13" outlineLevel="1" x14ac:dyDescent="0.3">
      <c r="A53" s="36" t="s">
        <v>474</v>
      </c>
      <c r="B53" s="12"/>
      <c r="C53" s="470">
        <v>6.2589959307403102</v>
      </c>
      <c r="D53" s="470">
        <v>6.4481647618114861</v>
      </c>
      <c r="E53" s="470">
        <v>6.3564657126927084</v>
      </c>
      <c r="F53" s="470">
        <v>6.5057358811049335</v>
      </c>
      <c r="G53" s="470">
        <v>6.4004748082527598</v>
      </c>
      <c r="H53" s="399">
        <v>6.5776356972721004</v>
      </c>
      <c r="I53" s="471">
        <f>IFERROR(AVERAGE(C53:H53),0)</f>
        <v>6.4245787986457161</v>
      </c>
      <c r="J53" s="471">
        <f>SUM(C53:H53)</f>
        <v>38.547472791874299</v>
      </c>
      <c r="K53" s="11"/>
      <c r="M53" s="233"/>
    </row>
    <row r="54" spans="1:13" outlineLevel="1" x14ac:dyDescent="0.3">
      <c r="A54" s="36" t="s">
        <v>475</v>
      </c>
      <c r="B54" s="12"/>
      <c r="C54" s="470">
        <v>7.429701056710865</v>
      </c>
      <c r="D54" s="470">
        <v>7.7623442516341905</v>
      </c>
      <c r="E54" s="470">
        <v>7.5512247800056729</v>
      </c>
      <c r="F54" s="470">
        <v>7.7940591134522803</v>
      </c>
      <c r="G54" s="470">
        <v>7.5595871985183551</v>
      </c>
      <c r="H54" s="399">
        <v>7.8983481827595066</v>
      </c>
      <c r="I54" s="471">
        <f>IFERROR(AVERAGE(C54:H54),0)</f>
        <v>7.6658774305134783</v>
      </c>
      <c r="J54" s="471">
        <f>SUM(C54:H54)</f>
        <v>45.995264583080868</v>
      </c>
      <c r="K54" s="11"/>
      <c r="M54" s="233"/>
    </row>
    <row r="55" spans="1:13" outlineLevel="1" x14ac:dyDescent="0.3">
      <c r="A55" s="59" t="s">
        <v>476</v>
      </c>
      <c r="B55" s="15"/>
      <c r="C55" s="477">
        <v>4.9572467907447564</v>
      </c>
      <c r="D55" s="472">
        <v>4.9868813158555767</v>
      </c>
      <c r="E55" s="472">
        <v>5.02797013009486</v>
      </c>
      <c r="F55" s="472">
        <v>5.0732029378891097</v>
      </c>
      <c r="G55" s="472">
        <v>5.1116160480798953</v>
      </c>
      <c r="H55" s="473">
        <v>5.1090879784438314</v>
      </c>
      <c r="I55" s="474">
        <f t="shared" ref="I55" si="21">IFERROR(AVERAGE(C55:H55),0)</f>
        <v>5.0443342001846716</v>
      </c>
      <c r="J55" s="474">
        <f t="shared" ref="J55" si="22">SUM(C55:H55)</f>
        <v>30.26600520110803</v>
      </c>
      <c r="K55" s="11"/>
      <c r="M55" s="233"/>
    </row>
    <row r="56" spans="1:13" outlineLevel="1" x14ac:dyDescent="0.3"/>
    <row r="57" spans="1:13" outlineLevel="1" x14ac:dyDescent="0.3">
      <c r="A57" s="676" t="s">
        <v>397</v>
      </c>
      <c r="B57" s="475" t="str" cm="1">
        <f t="array" ref="B57">_xlfn.IFNA(_xlfn.IFS(C57=FALSE,"EF",D57=FALSE,"EF",E57=FALSE,"EF",F57=FALSE,"EF",G57=FALSE,"EF",H57=FALSE,"EF",I57=FALSE,"EF",J57=FALSE,"EF"),"")</f>
        <v/>
      </c>
      <c r="C57" s="476" t="s">
        <v>509</v>
      </c>
      <c r="D57" s="476" t="s">
        <v>509</v>
      </c>
      <c r="E57" s="476" t="s">
        <v>509</v>
      </c>
      <c r="F57" s="476" t="s">
        <v>509</v>
      </c>
      <c r="G57" s="476" t="s">
        <v>509</v>
      </c>
      <c r="H57" s="476" t="s">
        <v>509</v>
      </c>
      <c r="I57" s="476" t="s">
        <v>509</v>
      </c>
      <c r="J57" s="476" t="s">
        <v>509</v>
      </c>
    </row>
    <row r="58" spans="1:13" outlineLevel="1" x14ac:dyDescent="0.3">
      <c r="A58" s="676"/>
      <c r="B58" s="475" t="str" cm="1">
        <f t="array" ref="B58">_xlfn.IFNA(_xlfn.IFS(C58=FALSE,"OR",D58=FALSE,"OR",E58=FALSE,"OR",F58=FALSE,"OR",G58=FALSE,"OR",H58=FALSE,"OR",I58=FALSE,"OR",J58=FALSE,"OR"),"")</f>
        <v/>
      </c>
      <c r="C58" s="476" t="s">
        <v>509</v>
      </c>
      <c r="D58" s="476" t="s">
        <v>509</v>
      </c>
      <c r="E58" s="476" t="s">
        <v>509</v>
      </c>
      <c r="F58" s="476" t="s">
        <v>509</v>
      </c>
      <c r="G58" s="476" t="s">
        <v>509</v>
      </c>
      <c r="H58" s="476" t="s">
        <v>509</v>
      </c>
      <c r="I58" s="476" t="s">
        <v>509</v>
      </c>
      <c r="J58" s="476" t="s">
        <v>509</v>
      </c>
    </row>
    <row r="59" spans="1:13" outlineLevel="1" x14ac:dyDescent="0.3">
      <c r="A59" s="676"/>
      <c r="B59" s="475" t="str" cm="1">
        <f t="array" ref="B59">_xlfn.IFNA(_xlfn.IFS(C59=FALSE,"CV",D59=FALSE,"CV",E59=FALSE,"CV",F59=FALSE,"CV",G59=FALSE,"CV",H59=FALSE,"CV",I59=FALSE,"CV",J59=FALSE,"CV"),"")</f>
        <v/>
      </c>
      <c r="C59" s="476" t="s">
        <v>509</v>
      </c>
      <c r="D59" s="476" t="s">
        <v>509</v>
      </c>
      <c r="E59" s="476" t="s">
        <v>509</v>
      </c>
      <c r="F59" s="476" t="s">
        <v>509</v>
      </c>
      <c r="G59" s="476" t="s">
        <v>509</v>
      </c>
      <c r="H59" s="476" t="s">
        <v>509</v>
      </c>
      <c r="I59" s="476" t="s">
        <v>509</v>
      </c>
      <c r="J59" s="476" t="s">
        <v>509</v>
      </c>
    </row>
    <row r="60" spans="1:13" outlineLevel="1" x14ac:dyDescent="0.3">
      <c r="A60" s="676"/>
      <c r="B60" s="475" t="str" cm="1">
        <f t="array" ref="B60">_xlfn.IFNA(_xlfn.IFS(C60=FALSE,"CF",D60=FALSE,"CF",E60=FALSE,"CF",F60=FALSE,"CF",G60=FALSE,"CF",H60=FALSE,"CF",I60=FALSE,"CF",J60=FALSE,"CF"),"")</f>
        <v/>
      </c>
      <c r="C60" s="476" t="s">
        <v>509</v>
      </c>
      <c r="D60" s="476" t="s">
        <v>509</v>
      </c>
      <c r="E60" s="476" t="s">
        <v>509</v>
      </c>
      <c r="F60" s="476" t="s">
        <v>509</v>
      </c>
      <c r="G60" s="476" t="s">
        <v>509</v>
      </c>
      <c r="H60" s="476" t="s">
        <v>509</v>
      </c>
      <c r="I60" s="476" t="s">
        <v>509</v>
      </c>
      <c r="J60" s="476" t="s">
        <v>509</v>
      </c>
    </row>
    <row r="61" spans="1:13" outlineLevel="1" x14ac:dyDescent="0.3">
      <c r="A61" s="676"/>
      <c r="B61" s="475" t="str" cm="1">
        <f t="array" ref="B61">_xlfn.IFNA(_xlfn.IFS(C61=FALSE,"CST",D61=FALSE,"CST",E61=FALSE,"CST",F61=FALSE,"CST",G61=FALSE,"CST",H61=FALSE,"CST",I61=FALSE,"CST",J61=FALSE,"CST"),"")</f>
        <v/>
      </c>
      <c r="C61" s="476" t="s">
        <v>509</v>
      </c>
      <c r="D61" s="476" t="s">
        <v>509</v>
      </c>
      <c r="E61" s="476" t="s">
        <v>509</v>
      </c>
      <c r="F61" s="476" t="s">
        <v>509</v>
      </c>
      <c r="G61" s="476" t="s">
        <v>509</v>
      </c>
      <c r="H61" s="476" t="s">
        <v>509</v>
      </c>
      <c r="I61" s="476" t="s">
        <v>509</v>
      </c>
      <c r="J61" s="476" t="s">
        <v>509</v>
      </c>
    </row>
    <row r="64" spans="1:13" x14ac:dyDescent="0.3">
      <c r="B64" s="2"/>
      <c r="C64" s="13"/>
      <c r="D64" s="13"/>
      <c r="E64" s="13"/>
      <c r="F64" s="13"/>
      <c r="G64" s="13"/>
      <c r="H64" s="13"/>
      <c r="I64" s="2"/>
      <c r="J64" s="2"/>
    </row>
    <row r="65" spans="3:10" x14ac:dyDescent="0.3">
      <c r="C65" s="13"/>
      <c r="D65" s="13"/>
      <c r="E65" s="13"/>
      <c r="F65" s="13"/>
      <c r="G65" s="13"/>
      <c r="H65" s="13"/>
      <c r="I65" s="564"/>
      <c r="J65" s="564"/>
    </row>
  </sheetData>
  <mergeCells count="13">
    <mergeCell ref="A57:A61"/>
    <mergeCell ref="A1:J1"/>
    <mergeCell ref="A3:A4"/>
    <mergeCell ref="B3:B4"/>
    <mergeCell ref="L3:L4"/>
    <mergeCell ref="A11:A12"/>
    <mergeCell ref="B11:B12"/>
    <mergeCell ref="L11:L12"/>
    <mergeCell ref="A18:A19"/>
    <mergeCell ref="B18:B19"/>
    <mergeCell ref="L18:L19"/>
    <mergeCell ref="A41:A42"/>
    <mergeCell ref="B41:B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&amp;L&amp;F&amp;R&amp;A</oddHeader>
    <oddFooter>&amp;L&amp;D&amp;C&amp;P/&amp;N&amp;R&amp;T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5C6E3-B728-4AD2-951F-849050BF1830}">
  <sheetPr codeName="Sheet29">
    <tabColor theme="9"/>
    <pageSetUpPr fitToPage="1"/>
  </sheetPr>
  <dimension ref="A1:P40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outlineLevelRow="1" x14ac:dyDescent="0.3"/>
  <cols>
    <col min="1" max="1" width="40.453125" style="2" bestFit="1" customWidth="1"/>
    <col min="2" max="2" width="11.453125" style="17" customWidth="1"/>
    <col min="3" max="8" width="12.453125" style="28" bestFit="1" customWidth="1"/>
    <col min="9" max="9" width="13.7265625" style="28" bestFit="1" customWidth="1"/>
    <col min="10" max="10" width="10.81640625" style="28" bestFit="1" customWidth="1"/>
    <col min="11" max="11" width="3.54296875" style="2" customWidth="1"/>
    <col min="12" max="12" width="4.54296875" style="2" customWidth="1"/>
    <col min="13" max="16384" width="11.26953125" style="2"/>
  </cols>
  <sheetData>
    <row r="1" spans="1:11" ht="30" customHeight="1" x14ac:dyDescent="0.3">
      <c r="A1" s="680" t="s">
        <v>547</v>
      </c>
      <c r="B1" s="681"/>
      <c r="C1" s="681"/>
      <c r="D1" s="681"/>
      <c r="E1" s="681"/>
      <c r="F1" s="681"/>
      <c r="G1" s="681"/>
      <c r="H1" s="681"/>
      <c r="I1" s="681"/>
      <c r="J1" s="682"/>
    </row>
    <row r="2" spans="1:11" outlineLevel="1" x14ac:dyDescent="0.3"/>
    <row r="3" spans="1:11" ht="27.65" customHeight="1" outlineLevel="1" x14ac:dyDescent="0.3">
      <c r="A3" s="668" t="s">
        <v>375</v>
      </c>
      <c r="B3" s="678" t="s">
        <v>0</v>
      </c>
      <c r="C3" s="590">
        <v>2024</v>
      </c>
      <c r="D3" s="590">
        <f>C3+1</f>
        <v>2025</v>
      </c>
      <c r="E3" s="590">
        <f t="shared" ref="E3:G3" si="0">D3+1</f>
        <v>2026</v>
      </c>
      <c r="F3" s="590">
        <f t="shared" si="0"/>
        <v>2027</v>
      </c>
      <c r="G3" s="590">
        <f t="shared" si="0"/>
        <v>2028</v>
      </c>
      <c r="H3" s="591">
        <f>G3+1</f>
        <v>2029</v>
      </c>
      <c r="I3" s="179" t="s">
        <v>271</v>
      </c>
      <c r="J3" s="4" t="s">
        <v>62</v>
      </c>
    </row>
    <row r="4" spans="1:11" outlineLevel="1" x14ac:dyDescent="0.3">
      <c r="A4" s="669"/>
      <c r="B4" s="679"/>
      <c r="C4" s="77">
        <v>12</v>
      </c>
      <c r="D4" s="77">
        <v>12</v>
      </c>
      <c r="E4" s="77">
        <v>12</v>
      </c>
      <c r="F4" s="77">
        <v>12</v>
      </c>
      <c r="G4" s="77">
        <v>12</v>
      </c>
      <c r="H4" s="181">
        <v>12</v>
      </c>
      <c r="I4" s="78">
        <f t="shared" ref="I4:I9" si="1">IFERROR(AVERAGE(C4:H4),0)</f>
        <v>12</v>
      </c>
      <c r="J4" s="78">
        <f t="shared" ref="J4:J9" si="2">SUM(C4:H4)</f>
        <v>72</v>
      </c>
    </row>
    <row r="5" spans="1:11" outlineLevel="1" x14ac:dyDescent="0.3">
      <c r="A5" s="302" t="s">
        <v>356</v>
      </c>
      <c r="B5" s="8"/>
      <c r="C5" s="646">
        <v>236049.08103056438</v>
      </c>
      <c r="D5" s="646">
        <v>428620.53867710382</v>
      </c>
      <c r="E5" s="646">
        <v>324126.4318326693</v>
      </c>
      <c r="F5" s="646">
        <v>387388.76347484253</v>
      </c>
      <c r="G5" s="646">
        <v>441054.64227057248</v>
      </c>
      <c r="H5" s="647">
        <v>479830.95876409486</v>
      </c>
      <c r="I5" s="10">
        <f t="shared" si="1"/>
        <v>382845.06934164121</v>
      </c>
      <c r="J5" s="10">
        <f t="shared" si="2"/>
        <v>2297070.4160498474</v>
      </c>
      <c r="K5" s="11"/>
    </row>
    <row r="6" spans="1:11" outlineLevel="1" x14ac:dyDescent="0.3">
      <c r="A6" s="36" t="s">
        <v>332</v>
      </c>
      <c r="B6" s="12"/>
      <c r="C6" s="250">
        <v>759.24732002808014</v>
      </c>
      <c r="D6" s="250">
        <v>1752.7828717024095</v>
      </c>
      <c r="E6" s="250">
        <v>1192.5064083830366</v>
      </c>
      <c r="F6" s="250">
        <v>1517.3376108374214</v>
      </c>
      <c r="G6" s="250">
        <v>1794.4109170214506</v>
      </c>
      <c r="H6" s="604">
        <v>1993.5927257112198</v>
      </c>
      <c r="I6" s="14">
        <f t="shared" si="1"/>
        <v>1501.6463089472697</v>
      </c>
      <c r="J6" s="14">
        <f t="shared" si="2"/>
        <v>9009.877853683618</v>
      </c>
      <c r="K6" s="11"/>
    </row>
    <row r="7" spans="1:11" outlineLevel="1" x14ac:dyDescent="0.3">
      <c r="A7" s="36" t="s">
        <v>463</v>
      </c>
      <c r="B7" s="12"/>
      <c r="C7" s="250">
        <v>317.20217165326176</v>
      </c>
      <c r="D7" s="250">
        <v>569.66947312132834</v>
      </c>
      <c r="E7" s="250">
        <v>433.03122621351213</v>
      </c>
      <c r="F7" s="250">
        <v>515.99644077644916</v>
      </c>
      <c r="G7" s="250">
        <v>586.35083358077463</v>
      </c>
      <c r="H7" s="604">
        <v>637.20261036993179</v>
      </c>
      <c r="I7" s="14">
        <f t="shared" si="1"/>
        <v>509.90879261920963</v>
      </c>
      <c r="J7" s="14">
        <f t="shared" si="2"/>
        <v>3059.4527557152578</v>
      </c>
      <c r="K7" s="11"/>
    </row>
    <row r="8" spans="1:11" outlineLevel="1" x14ac:dyDescent="0.3">
      <c r="A8" s="59" t="s">
        <v>360</v>
      </c>
      <c r="B8" s="15"/>
      <c r="C8" s="606">
        <v>384.42282769055782</v>
      </c>
      <c r="D8" s="606">
        <v>564.49112161139237</v>
      </c>
      <c r="E8" s="606">
        <v>474.33437007899374</v>
      </c>
      <c r="F8" s="606">
        <v>534.04561952888616</v>
      </c>
      <c r="G8" s="606">
        <v>584.15769092616029</v>
      </c>
      <c r="H8" s="607">
        <v>620.72947063621359</v>
      </c>
      <c r="I8" s="16">
        <f t="shared" si="1"/>
        <v>527.03018341203403</v>
      </c>
      <c r="J8" s="16">
        <f t="shared" si="2"/>
        <v>3162.181100472204</v>
      </c>
      <c r="K8" s="11"/>
    </row>
    <row r="9" spans="1:11" s="5" customFormat="1" outlineLevel="1" x14ac:dyDescent="0.3">
      <c r="A9" s="96" t="s">
        <v>372</v>
      </c>
      <c r="B9" s="57" t="s">
        <v>336</v>
      </c>
      <c r="C9" s="19">
        <f>SUM(C5:C8)</f>
        <v>237509.95334993629</v>
      </c>
      <c r="D9" s="19">
        <f t="shared" ref="D9:H9" si="3">SUM(D5:D8)</f>
        <v>431507.48214353895</v>
      </c>
      <c r="E9" s="19">
        <f t="shared" si="3"/>
        <v>326226.30383734481</v>
      </c>
      <c r="F9" s="19">
        <f t="shared" si="3"/>
        <v>389956.14314598532</v>
      </c>
      <c r="G9" s="19">
        <f t="shared" si="3"/>
        <v>444019.56171210087</v>
      </c>
      <c r="H9" s="35">
        <f t="shared" si="3"/>
        <v>483082.48357081227</v>
      </c>
      <c r="I9" s="20">
        <f t="shared" si="1"/>
        <v>385383.65462661971</v>
      </c>
      <c r="J9" s="20">
        <f t="shared" si="2"/>
        <v>2312301.9277597181</v>
      </c>
      <c r="K9" s="6"/>
    </row>
    <row r="10" spans="1:11" outlineLevel="1" x14ac:dyDescent="0.3">
      <c r="C10" s="13"/>
      <c r="D10" s="13"/>
      <c r="E10" s="13"/>
      <c r="F10" s="13"/>
      <c r="G10" s="13"/>
      <c r="H10" s="13"/>
      <c r="I10" s="13"/>
      <c r="J10" s="13"/>
    </row>
    <row r="11" spans="1:11" ht="27.65" customHeight="1" outlineLevel="1" x14ac:dyDescent="0.3">
      <c r="A11" s="668" t="s">
        <v>201</v>
      </c>
      <c r="B11" s="678" t="s">
        <v>0</v>
      </c>
      <c r="C11" s="590">
        <f>Annee</f>
        <v>2024</v>
      </c>
      <c r="D11" s="590">
        <f>C11+1</f>
        <v>2025</v>
      </c>
      <c r="E11" s="590">
        <f t="shared" ref="E11:G11" si="4">D11+1</f>
        <v>2026</v>
      </c>
      <c r="F11" s="590">
        <f t="shared" si="4"/>
        <v>2027</v>
      </c>
      <c r="G11" s="590">
        <f t="shared" si="4"/>
        <v>2028</v>
      </c>
      <c r="H11" s="591">
        <f>G11+1</f>
        <v>2029</v>
      </c>
      <c r="I11" s="179" t="s">
        <v>271</v>
      </c>
      <c r="J11" s="4" t="s">
        <v>62</v>
      </c>
    </row>
    <row r="12" spans="1:11" outlineLevel="1" x14ac:dyDescent="0.3">
      <c r="A12" s="669"/>
      <c r="B12" s="679"/>
      <c r="C12" s="77">
        <v>12</v>
      </c>
      <c r="D12" s="77">
        <v>12</v>
      </c>
      <c r="E12" s="77">
        <v>12</v>
      </c>
      <c r="F12" s="77">
        <v>12</v>
      </c>
      <c r="G12" s="77">
        <v>12</v>
      </c>
      <c r="H12" s="181">
        <v>12</v>
      </c>
      <c r="I12" s="78">
        <f>IFERROR(AVERAGE(C12:H12),0)</f>
        <v>12</v>
      </c>
      <c r="J12" s="78">
        <f t="shared" ref="J12:J16" si="5">SUM(C12:H12)</f>
        <v>72</v>
      </c>
    </row>
    <row r="13" spans="1:11" outlineLevel="1" x14ac:dyDescent="0.3">
      <c r="A13" s="302" t="s">
        <v>66</v>
      </c>
      <c r="B13" s="8"/>
      <c r="C13" s="646">
        <v>163500.90353813861</v>
      </c>
      <c r="D13" s="646">
        <v>269896.13441870641</v>
      </c>
      <c r="E13" s="646">
        <v>255284.32300054282</v>
      </c>
      <c r="F13" s="646">
        <v>287963.06269218866</v>
      </c>
      <c r="G13" s="646">
        <v>314382.5128690023</v>
      </c>
      <c r="H13" s="647">
        <v>333148.64439617656</v>
      </c>
      <c r="I13" s="10">
        <f>IFERROR(AVERAGE(C13:H13),0)</f>
        <v>270695.93015245924</v>
      </c>
      <c r="J13" s="10">
        <f t="shared" si="5"/>
        <v>1624175.5809147554</v>
      </c>
      <c r="K13" s="11"/>
    </row>
    <row r="14" spans="1:11" outlineLevel="1" x14ac:dyDescent="0.3">
      <c r="A14" s="36" t="s">
        <v>334</v>
      </c>
      <c r="B14" s="12"/>
      <c r="C14" s="250">
        <v>0</v>
      </c>
      <c r="D14" s="250">
        <v>0</v>
      </c>
      <c r="E14" s="250">
        <v>0</v>
      </c>
      <c r="F14" s="250">
        <v>0</v>
      </c>
      <c r="G14" s="250">
        <v>0</v>
      </c>
      <c r="H14" s="604">
        <v>0</v>
      </c>
      <c r="I14" s="14">
        <f>IFERROR(AVERAGE(C14:H14),0)</f>
        <v>0</v>
      </c>
      <c r="J14" s="14">
        <f t="shared" si="5"/>
        <v>0</v>
      </c>
      <c r="K14" s="11"/>
    </row>
    <row r="15" spans="1:11" outlineLevel="1" x14ac:dyDescent="0.3">
      <c r="A15" s="59" t="s">
        <v>67</v>
      </c>
      <c r="B15" s="15"/>
      <c r="C15" s="606">
        <v>0</v>
      </c>
      <c r="D15" s="606">
        <v>0</v>
      </c>
      <c r="E15" s="606">
        <v>0</v>
      </c>
      <c r="F15" s="606">
        <v>0</v>
      </c>
      <c r="G15" s="606">
        <v>0</v>
      </c>
      <c r="H15" s="607">
        <v>0</v>
      </c>
      <c r="I15" s="16">
        <f>IFERROR(AVERAGE(C15:H15),0)</f>
        <v>0</v>
      </c>
      <c r="J15" s="16">
        <f t="shared" si="5"/>
        <v>0</v>
      </c>
      <c r="K15" s="11"/>
    </row>
    <row r="16" spans="1:11" s="5" customFormat="1" outlineLevel="1" x14ac:dyDescent="0.3">
      <c r="A16" s="96" t="s">
        <v>207</v>
      </c>
      <c r="B16" s="57" t="s">
        <v>336</v>
      </c>
      <c r="C16" s="19">
        <f>SUM(C13:C15)</f>
        <v>163500.90353813861</v>
      </c>
      <c r="D16" s="19">
        <f t="shared" ref="D16:H16" si="6">SUM(D13:D15)</f>
        <v>269896.13441870641</v>
      </c>
      <c r="E16" s="19">
        <f t="shared" si="6"/>
        <v>255284.32300054282</v>
      </c>
      <c r="F16" s="19">
        <f t="shared" si="6"/>
        <v>287963.06269218866</v>
      </c>
      <c r="G16" s="19">
        <f t="shared" si="6"/>
        <v>314382.5128690023</v>
      </c>
      <c r="H16" s="35">
        <f t="shared" si="6"/>
        <v>333148.64439617656</v>
      </c>
      <c r="I16" s="20">
        <f>IFERROR(AVERAGE(C16:H16),0)</f>
        <v>270695.93015245924</v>
      </c>
      <c r="J16" s="20">
        <f t="shared" si="5"/>
        <v>1624175.5809147554</v>
      </c>
      <c r="K16" s="6"/>
    </row>
    <row r="17" spans="1:16" x14ac:dyDescent="0.3">
      <c r="C17" s="13"/>
      <c r="D17" s="13"/>
      <c r="E17" s="13"/>
      <c r="F17" s="13"/>
      <c r="G17" s="13"/>
      <c r="H17" s="13"/>
      <c r="I17" s="13"/>
      <c r="J17" s="13"/>
    </row>
    <row r="18" spans="1:16" ht="27.65" customHeight="1" x14ac:dyDescent="0.3">
      <c r="A18" s="668" t="s">
        <v>198</v>
      </c>
      <c r="B18" s="678" t="s">
        <v>0</v>
      </c>
      <c r="C18" s="590">
        <f>Annee</f>
        <v>2024</v>
      </c>
      <c r="D18" s="590">
        <f>C18+1</f>
        <v>2025</v>
      </c>
      <c r="E18" s="590">
        <f t="shared" ref="E18:G18" si="7">D18+1</f>
        <v>2026</v>
      </c>
      <c r="F18" s="590">
        <f t="shared" si="7"/>
        <v>2027</v>
      </c>
      <c r="G18" s="590">
        <f t="shared" si="7"/>
        <v>2028</v>
      </c>
      <c r="H18" s="591">
        <f>G18+1</f>
        <v>2029</v>
      </c>
      <c r="I18" s="179" t="s">
        <v>271</v>
      </c>
      <c r="J18" s="4" t="s">
        <v>62</v>
      </c>
    </row>
    <row r="19" spans="1:16" x14ac:dyDescent="0.3">
      <c r="A19" s="669"/>
      <c r="B19" s="679"/>
      <c r="C19" s="77">
        <v>12</v>
      </c>
      <c r="D19" s="77">
        <v>12</v>
      </c>
      <c r="E19" s="77">
        <v>12</v>
      </c>
      <c r="F19" s="77">
        <v>12</v>
      </c>
      <c r="G19" s="77">
        <v>12</v>
      </c>
      <c r="H19" s="181">
        <v>12</v>
      </c>
      <c r="I19" s="78">
        <f t="shared" ref="I19:I32" si="8">IFERROR(AVERAGE(C19:H19),0)</f>
        <v>12</v>
      </c>
      <c r="J19" s="78">
        <f t="shared" ref="J19:J37" si="9">SUM(C19:H19)</f>
        <v>72</v>
      </c>
    </row>
    <row r="20" spans="1:16" s="5" customFormat="1" x14ac:dyDescent="0.3">
      <c r="A20" s="303" t="s">
        <v>197</v>
      </c>
      <c r="B20" s="150" t="s">
        <v>168</v>
      </c>
      <c r="C20" s="110">
        <f>SUM(C21:C23)</f>
        <v>481167.62081922614</v>
      </c>
      <c r="D20" s="110">
        <f t="shared" ref="D20:H20" si="10">SUM(D21:D23)</f>
        <v>-1635455.6358153548</v>
      </c>
      <c r="E20" s="110">
        <f t="shared" si="10"/>
        <v>-68419.330792976281</v>
      </c>
      <c r="F20" s="110">
        <f t="shared" si="10"/>
        <v>-1488098.4810824941</v>
      </c>
      <c r="G20" s="110">
        <f t="shared" si="10"/>
        <v>92979.958309507259</v>
      </c>
      <c r="H20" s="184">
        <f t="shared" si="10"/>
        <v>-1722633.699626439</v>
      </c>
      <c r="I20" s="24">
        <f t="shared" si="8"/>
        <v>-723409.92803142173</v>
      </c>
      <c r="J20" s="24">
        <f t="shared" si="9"/>
        <v>-4340459.5681885304</v>
      </c>
      <c r="K20" s="552"/>
    </row>
    <row r="21" spans="1:16" x14ac:dyDescent="0.3">
      <c r="A21" s="36" t="s">
        <v>1</v>
      </c>
      <c r="B21" s="554">
        <f>I20/($I$37-5600000)</f>
        <v>5.1228881646420921E-2</v>
      </c>
      <c r="C21" s="250">
        <v>627953.50885787513</v>
      </c>
      <c r="D21" s="250">
        <v>-1374983.5985117517</v>
      </c>
      <c r="E21" s="250">
        <v>231926.91501063947</v>
      </c>
      <c r="F21" s="250">
        <v>-1064950.1852588393</v>
      </c>
      <c r="G21" s="250">
        <v>497440.57736338396</v>
      </c>
      <c r="H21" s="604">
        <v>-1297985.1250799689</v>
      </c>
      <c r="I21" s="14">
        <f t="shared" si="8"/>
        <v>-396766.31793644355</v>
      </c>
      <c r="J21" s="14">
        <f t="shared" si="9"/>
        <v>-2380597.9076186614</v>
      </c>
    </row>
    <row r="22" spans="1:16" x14ac:dyDescent="0.3">
      <c r="A22" s="36" t="s">
        <v>392</v>
      </c>
      <c r="B22" s="12"/>
      <c r="C22" s="250">
        <v>-166623.85803864896</v>
      </c>
      <c r="D22" s="250">
        <v>-247560.00730360299</v>
      </c>
      <c r="E22" s="250">
        <v>-317434.21580361575</v>
      </c>
      <c r="F22" s="250">
        <v>-410236.26582365483</v>
      </c>
      <c r="G22" s="250">
        <v>-421548.5890538767</v>
      </c>
      <c r="H22" s="604">
        <v>-411736.54454647005</v>
      </c>
      <c r="I22" s="14">
        <f t="shared" si="8"/>
        <v>-329189.91342831153</v>
      </c>
      <c r="J22" s="14">
        <f t="shared" si="9"/>
        <v>-1975139.4805698693</v>
      </c>
    </row>
    <row r="23" spans="1:16" x14ac:dyDescent="0.3">
      <c r="A23" s="36" t="s">
        <v>2</v>
      </c>
      <c r="B23" s="12"/>
      <c r="C23" s="250">
        <v>19837.97</v>
      </c>
      <c r="D23" s="250">
        <v>-12912.029999999999</v>
      </c>
      <c r="E23" s="250">
        <v>17087.97</v>
      </c>
      <c r="F23" s="250">
        <v>-12912.029999999999</v>
      </c>
      <c r="G23" s="250">
        <v>17087.97</v>
      </c>
      <c r="H23" s="604">
        <v>-12912.029999999999</v>
      </c>
      <c r="I23" s="14">
        <f t="shared" si="8"/>
        <v>2546.3033333333346</v>
      </c>
      <c r="J23" s="14">
        <f t="shared" si="9"/>
        <v>15277.820000000007</v>
      </c>
    </row>
    <row r="24" spans="1:16" s="5" customFormat="1" x14ac:dyDescent="0.3">
      <c r="A24" s="303" t="s">
        <v>199</v>
      </c>
      <c r="B24" s="150" t="s">
        <v>86</v>
      </c>
      <c r="C24" s="23">
        <f t="shared" ref="C24:H24" si="11">SUM(C25:C33)</f>
        <v>-6639383.3244613968</v>
      </c>
      <c r="D24" s="23">
        <f t="shared" si="11"/>
        <v>-6763992.0986772915</v>
      </c>
      <c r="E24" s="23">
        <f t="shared" si="11"/>
        <v>-6702647.3048627451</v>
      </c>
      <c r="F24" s="23">
        <f t="shared" si="11"/>
        <v>-6819493.4120816272</v>
      </c>
      <c r="G24" s="23">
        <f t="shared" si="11"/>
        <v>-6695066.6167257056</v>
      </c>
      <c r="H24" s="178">
        <f t="shared" si="11"/>
        <v>-6763610.7537974399</v>
      </c>
      <c r="I24" s="24">
        <f t="shared" si="8"/>
        <v>-6730698.9184343675</v>
      </c>
      <c r="J24" s="24">
        <f t="shared" si="9"/>
        <v>-40384193.510606207</v>
      </c>
    </row>
    <row r="25" spans="1:16" x14ac:dyDescent="0.3">
      <c r="A25" s="36" t="s">
        <v>3</v>
      </c>
      <c r="B25" s="555">
        <f>(I24-5600000)/($I$37-5600000)</f>
        <v>0.87320880047790395</v>
      </c>
      <c r="C25" s="250">
        <v>-21333.999999999767</v>
      </c>
      <c r="D25" s="250">
        <v>-21334</v>
      </c>
      <c r="E25" s="250">
        <v>-21334</v>
      </c>
      <c r="F25" s="250">
        <v>-21334</v>
      </c>
      <c r="G25" s="250">
        <v>-21334</v>
      </c>
      <c r="H25" s="604">
        <v>-21334</v>
      </c>
      <c r="I25" s="14">
        <f t="shared" si="8"/>
        <v>-21333.99999999996</v>
      </c>
      <c r="J25" s="14">
        <f t="shared" si="9"/>
        <v>-128003.99999999977</v>
      </c>
    </row>
    <row r="26" spans="1:16" x14ac:dyDescent="0.3">
      <c r="A26" s="36" t="s">
        <v>290</v>
      </c>
      <c r="B26" s="12"/>
      <c r="C26" s="250">
        <v>0</v>
      </c>
      <c r="D26" s="250">
        <v>0</v>
      </c>
      <c r="E26" s="250">
        <v>0</v>
      </c>
      <c r="F26" s="250">
        <v>0</v>
      </c>
      <c r="G26" s="250">
        <v>0</v>
      </c>
      <c r="H26" s="604">
        <v>0</v>
      </c>
      <c r="I26" s="14">
        <f t="shared" si="8"/>
        <v>0</v>
      </c>
      <c r="J26" s="14">
        <f t="shared" si="9"/>
        <v>0</v>
      </c>
    </row>
    <row r="27" spans="1:16" x14ac:dyDescent="0.3">
      <c r="A27" s="36" t="s">
        <v>166</v>
      </c>
      <c r="B27" s="12"/>
      <c r="C27" s="250">
        <v>39375.829354951158</v>
      </c>
      <c r="D27" s="250">
        <v>-18768.537774782628</v>
      </c>
      <c r="E27" s="250">
        <v>-28038.828786503524</v>
      </c>
      <c r="F27" s="250">
        <v>-40560.524352738634</v>
      </c>
      <c r="G27" s="250">
        <v>-49577.787977231666</v>
      </c>
      <c r="H27" s="604">
        <v>-61074.834416072816</v>
      </c>
      <c r="I27" s="14">
        <f t="shared" si="8"/>
        <v>-26440.780658729684</v>
      </c>
      <c r="J27" s="14">
        <f t="shared" si="9"/>
        <v>-158644.68395237811</v>
      </c>
    </row>
    <row r="28" spans="1:16" x14ac:dyDescent="0.3">
      <c r="A28" s="36" t="s">
        <v>4</v>
      </c>
      <c r="B28" s="12"/>
      <c r="C28" s="250">
        <v>-393665.03490173607</v>
      </c>
      <c r="D28" s="250">
        <v>-448881.54131188104</v>
      </c>
      <c r="E28" s="250">
        <v>-406864.11442805524</v>
      </c>
      <c r="F28" s="250">
        <v>-449814.50247337646</v>
      </c>
      <c r="G28" s="250">
        <v>-402504.20578529174</v>
      </c>
      <c r="H28" s="604">
        <v>-444540.77615157329</v>
      </c>
      <c r="I28" s="14">
        <f t="shared" si="8"/>
        <v>-424378.36250865227</v>
      </c>
      <c r="J28" s="14">
        <f t="shared" si="9"/>
        <v>-2546270.1750519136</v>
      </c>
      <c r="M28" s="11"/>
      <c r="P28" s="11"/>
    </row>
    <row r="29" spans="1:16" x14ac:dyDescent="0.3">
      <c r="A29" s="36" t="s">
        <v>5</v>
      </c>
      <c r="B29" s="12"/>
      <c r="C29" s="250">
        <v>-679153.93938936549</v>
      </c>
      <c r="D29" s="250">
        <v>-699933.58257249335</v>
      </c>
      <c r="E29" s="250">
        <v>-689499.80486987345</v>
      </c>
      <c r="F29" s="250">
        <v>-705145.73913749866</v>
      </c>
      <c r="G29" s="250">
        <v>-692331.15546965157</v>
      </c>
      <c r="H29" s="604">
        <v>-705045.74135520041</v>
      </c>
      <c r="I29" s="14">
        <f t="shared" si="8"/>
        <v>-695184.9937990139</v>
      </c>
      <c r="J29" s="14">
        <f t="shared" si="9"/>
        <v>-4171109.9627940832</v>
      </c>
      <c r="M29" s="11"/>
      <c r="P29" s="11"/>
    </row>
    <row r="30" spans="1:16" x14ac:dyDescent="0.3">
      <c r="A30" s="36" t="s">
        <v>176</v>
      </c>
      <c r="B30" s="12"/>
      <c r="C30" s="250">
        <v>-54251.930555555562</v>
      </c>
      <c r="D30" s="250">
        <v>-55251.930555555562</v>
      </c>
      <c r="E30" s="250">
        <v>-54991.930555555562</v>
      </c>
      <c r="F30" s="250">
        <v>-51991.930555555562</v>
      </c>
      <c r="G30" s="250">
        <v>-20871.930555555562</v>
      </c>
      <c r="H30" s="604">
        <v>4912.069444444438</v>
      </c>
      <c r="I30" s="14">
        <f t="shared" si="8"/>
        <v>-38741.263888888898</v>
      </c>
      <c r="J30" s="14">
        <f t="shared" si="9"/>
        <v>-232447.58333333337</v>
      </c>
      <c r="M30" s="11"/>
      <c r="P30" s="11"/>
    </row>
    <row r="31" spans="1:16" x14ac:dyDescent="0.3">
      <c r="A31" s="36" t="s">
        <v>182</v>
      </c>
      <c r="B31" s="12"/>
      <c r="C31" s="250">
        <v>-231365.5</v>
      </c>
      <c r="D31" s="250">
        <v>-231365.5</v>
      </c>
      <c r="E31" s="250">
        <v>-231365.5</v>
      </c>
      <c r="F31" s="250">
        <v>-231365.5</v>
      </c>
      <c r="G31" s="250">
        <v>-231365.5</v>
      </c>
      <c r="H31" s="604">
        <v>-231365.5</v>
      </c>
      <c r="I31" s="14">
        <f t="shared" si="8"/>
        <v>-231365.5</v>
      </c>
      <c r="J31" s="14">
        <f t="shared" si="9"/>
        <v>-1388193</v>
      </c>
    </row>
    <row r="32" spans="1:16" x14ac:dyDescent="0.3">
      <c r="A32" s="36" t="s">
        <v>6</v>
      </c>
      <c r="B32" s="12"/>
      <c r="C32" s="250">
        <v>-5265312.9932825528</v>
      </c>
      <c r="D32" s="250">
        <v>-5215637.859903479</v>
      </c>
      <c r="E32" s="250">
        <v>-5225046.4447000138</v>
      </c>
      <c r="F32" s="250">
        <v>-5242284.4479024587</v>
      </c>
      <c r="G32" s="250">
        <v>-5232394.3978769025</v>
      </c>
      <c r="H32" s="604">
        <v>-5233411.3593352269</v>
      </c>
      <c r="I32" s="14">
        <f t="shared" si="8"/>
        <v>-5235681.2505001053</v>
      </c>
      <c r="J32" s="14">
        <f t="shared" si="9"/>
        <v>-31414087.503000632</v>
      </c>
      <c r="M32" s="11"/>
    </row>
    <row r="33" spans="1:11" x14ac:dyDescent="0.3">
      <c r="A33" s="36" t="s">
        <v>196</v>
      </c>
      <c r="B33" s="12"/>
      <c r="C33" s="250">
        <v>-33675.755687138066</v>
      </c>
      <c r="D33" s="250">
        <v>-72819.146559099667</v>
      </c>
      <c r="E33" s="250">
        <v>-45506.681522744009</v>
      </c>
      <c r="F33" s="250">
        <v>-76996.767659999663</v>
      </c>
      <c r="G33" s="250">
        <v>-44687.639061073307</v>
      </c>
      <c r="H33" s="604">
        <v>-71750.61198381125</v>
      </c>
      <c r="I33" s="14">
        <f>IFERROR(AVERAGE(C33:H33),0)</f>
        <v>-57572.76707897766</v>
      </c>
      <c r="J33" s="14">
        <f t="shared" si="9"/>
        <v>-345436.60247386596</v>
      </c>
    </row>
    <row r="34" spans="1:11" s="5" customFormat="1" x14ac:dyDescent="0.3">
      <c r="A34" s="303" t="s">
        <v>200</v>
      </c>
      <c r="B34" s="150" t="s">
        <v>87</v>
      </c>
      <c r="C34" s="23">
        <f>SUM(C35:C36)</f>
        <v>-1134385.6924272869</v>
      </c>
      <c r="D34" s="23">
        <f t="shared" ref="D34:H34" si="12">SUM(D35:D36)</f>
        <v>-1101813.9179826323</v>
      </c>
      <c r="E34" s="23">
        <f t="shared" si="12"/>
        <v>-1049497.9414664842</v>
      </c>
      <c r="F34" s="23">
        <f t="shared" si="12"/>
        <v>-1230988.2057709731</v>
      </c>
      <c r="G34" s="23">
        <f t="shared" si="12"/>
        <v>-1044081.5729954597</v>
      </c>
      <c r="H34" s="178">
        <f t="shared" si="12"/>
        <v>-841386.59263905138</v>
      </c>
      <c r="I34" s="24">
        <f t="shared" ref="I34:I37" si="13">IFERROR(AVERAGE(C34:H34),0)</f>
        <v>-1067025.6538803147</v>
      </c>
      <c r="J34" s="24">
        <f t="shared" si="9"/>
        <v>-6402153.9232818875</v>
      </c>
    </row>
    <row r="35" spans="1:11" x14ac:dyDescent="0.3">
      <c r="A35" s="36" t="s">
        <v>391</v>
      </c>
      <c r="B35" s="553">
        <f>I34/($I$37-5600000)</f>
        <v>7.5562317875675092E-2</v>
      </c>
      <c r="C35" s="250">
        <v>-1032200.5309925005</v>
      </c>
      <c r="D35" s="250">
        <v>-1038234.2354511656</v>
      </c>
      <c r="E35" s="250">
        <v>-947688.63341859728</v>
      </c>
      <c r="F35" s="250">
        <v>-922458.55976944789</v>
      </c>
      <c r="G35" s="250">
        <v>-903432.47210169211</v>
      </c>
      <c r="H35" s="604">
        <v>-819546.0375569202</v>
      </c>
      <c r="I35" s="14">
        <f t="shared" si="13"/>
        <v>-943926.74488172063</v>
      </c>
      <c r="J35" s="14">
        <f t="shared" si="9"/>
        <v>-5663560.4692903236</v>
      </c>
    </row>
    <row r="36" spans="1:11" x14ac:dyDescent="0.3">
      <c r="A36" s="36" t="s">
        <v>393</v>
      </c>
      <c r="B36" s="12"/>
      <c r="C36" s="250">
        <v>-102185.16143478639</v>
      </c>
      <c r="D36" s="250">
        <v>-63579.682531466708</v>
      </c>
      <c r="E36" s="250">
        <v>-101809.30804788694</v>
      </c>
      <c r="F36" s="250">
        <v>-308529.64600152522</v>
      </c>
      <c r="G36" s="250">
        <v>-140649.10089376755</v>
      </c>
      <c r="H36" s="604">
        <v>-21840.555082131177</v>
      </c>
      <c r="I36" s="14">
        <f t="shared" si="13"/>
        <v>-123098.90899859399</v>
      </c>
      <c r="J36" s="14">
        <f t="shared" si="9"/>
        <v>-738593.45399156399</v>
      </c>
    </row>
    <row r="37" spans="1:11" s="5" customFormat="1" x14ac:dyDescent="0.3">
      <c r="A37" s="96" t="s">
        <v>208</v>
      </c>
      <c r="B37" s="57"/>
      <c r="C37" s="19">
        <f>C20+C24+C34</f>
        <v>-7292601.3960694578</v>
      </c>
      <c r="D37" s="19">
        <f t="shared" ref="D37:H37" si="14">D20+D24+D34</f>
        <v>-9501261.6524752788</v>
      </c>
      <c r="E37" s="19">
        <f t="shared" si="14"/>
        <v>-7820564.5771222059</v>
      </c>
      <c r="F37" s="19">
        <f t="shared" si="14"/>
        <v>-9538580.0989350937</v>
      </c>
      <c r="G37" s="19">
        <f t="shared" si="14"/>
        <v>-7646168.2314116582</v>
      </c>
      <c r="H37" s="35">
        <f t="shared" si="14"/>
        <v>-9327631.0460629296</v>
      </c>
      <c r="I37" s="20">
        <f t="shared" si="13"/>
        <v>-8521134.5003461037</v>
      </c>
      <c r="J37" s="35">
        <f t="shared" si="9"/>
        <v>-51126807.002076618</v>
      </c>
      <c r="K37" s="6"/>
    </row>
    <row r="38" spans="1:11" x14ac:dyDescent="0.3">
      <c r="C38" s="13"/>
      <c r="I38" s="13"/>
    </row>
    <row r="39" spans="1:11" x14ac:dyDescent="0.3">
      <c r="I39" s="13"/>
    </row>
    <row r="40" spans="1:11" x14ac:dyDescent="0.3">
      <c r="C40" s="13"/>
      <c r="D40" s="13"/>
      <c r="E40" s="13"/>
      <c r="F40" s="13"/>
      <c r="G40" s="13"/>
      <c r="H40" s="13"/>
      <c r="I40" s="551"/>
    </row>
  </sheetData>
  <mergeCells count="7">
    <mergeCell ref="A18:A19"/>
    <mergeCell ref="B18:B19"/>
    <mergeCell ref="A1:J1"/>
    <mergeCell ref="A3:A4"/>
    <mergeCell ref="B3:B4"/>
    <mergeCell ref="A11:A12"/>
    <mergeCell ref="B11:B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&amp;L&amp;F&amp;R&amp;A</oddHeader>
    <oddFooter>&amp;L&amp;D&amp;C&amp;P/&amp;N&amp;R&amp;T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/>
  </sheetPr>
  <dimension ref="A1:K113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outlineLevelCol="1" x14ac:dyDescent="0.3"/>
  <cols>
    <col min="1" max="1" width="45.453125" style="2" bestFit="1" customWidth="1"/>
    <col min="2" max="2" width="52.81640625" style="309" bestFit="1" customWidth="1" outlineLevel="1"/>
    <col min="3" max="6" width="10.1796875" style="64" customWidth="1"/>
    <col min="7" max="8" width="10.26953125" style="64" customWidth="1"/>
    <col min="9" max="10" width="11.81640625" style="64" customWidth="1"/>
    <col min="11" max="16384" width="11.26953125" style="2"/>
  </cols>
  <sheetData>
    <row r="1" spans="1:11" ht="26.15" customHeight="1" x14ac:dyDescent="0.3">
      <c r="A1" s="680" t="s">
        <v>529</v>
      </c>
      <c r="B1" s="689"/>
      <c r="C1" s="689"/>
      <c r="D1" s="689"/>
      <c r="E1" s="689"/>
      <c r="F1" s="689"/>
      <c r="G1" s="689"/>
      <c r="H1" s="689"/>
      <c r="I1" s="689"/>
      <c r="J1" s="690"/>
    </row>
    <row r="2" spans="1:11" x14ac:dyDescent="0.3">
      <c r="B2" s="2"/>
      <c r="C2" s="11"/>
      <c r="D2" s="11"/>
      <c r="E2" s="11"/>
      <c r="F2" s="2"/>
      <c r="G2" s="2"/>
      <c r="H2" s="2"/>
      <c r="I2" s="2"/>
      <c r="J2" s="2"/>
    </row>
    <row r="3" spans="1:11" x14ac:dyDescent="0.3">
      <c r="A3" s="42" t="s">
        <v>74</v>
      </c>
      <c r="B3" s="43"/>
      <c r="C3" s="44"/>
      <c r="D3" s="44"/>
      <c r="E3" s="44"/>
      <c r="F3" s="44"/>
      <c r="G3" s="44"/>
      <c r="H3" s="44"/>
      <c r="I3" s="44"/>
      <c r="J3" s="44"/>
      <c r="K3" s="11"/>
    </row>
    <row r="4" spans="1:11" x14ac:dyDescent="0.3">
      <c r="B4" s="2"/>
      <c r="C4" s="11"/>
      <c r="D4" s="11"/>
      <c r="E4" s="11"/>
      <c r="F4" s="2"/>
      <c r="G4" s="2"/>
      <c r="H4" s="2"/>
      <c r="I4" s="2"/>
      <c r="J4" s="2"/>
    </row>
    <row r="5" spans="1:11" ht="26" x14ac:dyDescent="0.3">
      <c r="A5" s="691" t="s">
        <v>374</v>
      </c>
      <c r="B5" s="678"/>
      <c r="C5" s="3">
        <f>Annee</f>
        <v>2024</v>
      </c>
      <c r="D5" s="291">
        <f>C5+1</f>
        <v>2025</v>
      </c>
      <c r="E5" s="291">
        <f t="shared" ref="E5:G5" si="0">D5+1</f>
        <v>2026</v>
      </c>
      <c r="F5" s="291">
        <f t="shared" si="0"/>
        <v>2027</v>
      </c>
      <c r="G5" s="291">
        <f t="shared" si="0"/>
        <v>2028</v>
      </c>
      <c r="H5" s="295">
        <f>G5+1</f>
        <v>2029</v>
      </c>
      <c r="I5" s="179" t="s">
        <v>271</v>
      </c>
      <c r="J5" s="4" t="s">
        <v>62</v>
      </c>
      <c r="K5" s="11"/>
    </row>
    <row r="6" spans="1:11" x14ac:dyDescent="0.3">
      <c r="A6" s="692"/>
      <c r="B6" s="679"/>
      <c r="C6" s="77">
        <v>12</v>
      </c>
      <c r="D6" s="77">
        <v>12</v>
      </c>
      <c r="E6" s="77">
        <v>12</v>
      </c>
      <c r="F6" s="77">
        <v>12</v>
      </c>
      <c r="G6" s="77">
        <v>12</v>
      </c>
      <c r="H6" s="77">
        <v>12</v>
      </c>
      <c r="I6" s="78">
        <f t="shared" ref="I6:I16" si="1">IFERROR(AVERAGE(C6:H6),0)</f>
        <v>12</v>
      </c>
      <c r="J6" s="78">
        <f t="shared" ref="J6" si="2">SUM(C6:H6)</f>
        <v>72</v>
      </c>
    </row>
    <row r="7" spans="1:11" x14ac:dyDescent="0.3">
      <c r="A7" s="115" t="s">
        <v>356</v>
      </c>
      <c r="B7" s="53"/>
      <c r="C7" s="223">
        <f>SUM(C8:C11)</f>
        <v>13187795.08777234</v>
      </c>
      <c r="D7" s="221">
        <f t="shared" ref="D7:H7" si="3">SUM(D8:D11)</f>
        <v>13893189.664871149</v>
      </c>
      <c r="E7" s="221">
        <f t="shared" si="3"/>
        <v>14235866.309847273</v>
      </c>
      <c r="F7" s="221">
        <f t="shared" si="3"/>
        <v>14580968.201039163</v>
      </c>
      <c r="G7" s="221">
        <f t="shared" si="3"/>
        <v>14849270.269404853</v>
      </c>
      <c r="H7" s="222">
        <f t="shared" si="3"/>
        <v>15101117.574240524</v>
      </c>
      <c r="I7" s="301">
        <f t="shared" si="1"/>
        <v>14308034.517862551</v>
      </c>
      <c r="J7" s="301">
        <f>SUM(C7:H7)</f>
        <v>85848207.107175305</v>
      </c>
    </row>
    <row r="8" spans="1:11" x14ac:dyDescent="0.3">
      <c r="A8" s="36" t="s">
        <v>357</v>
      </c>
      <c r="B8" s="37"/>
      <c r="C8" s="324">
        <v>7704204.936540721</v>
      </c>
      <c r="D8" s="325">
        <v>8116290.8346703118</v>
      </c>
      <c r="E8" s="325">
        <v>8316479.8035078794</v>
      </c>
      <c r="F8" s="325">
        <v>8518085.5818836186</v>
      </c>
      <c r="G8" s="325">
        <v>8674825.5149679277</v>
      </c>
      <c r="H8" s="326">
        <v>8821952.7061515767</v>
      </c>
      <c r="I8" s="10">
        <f t="shared" si="1"/>
        <v>8358639.8962870054</v>
      </c>
      <c r="J8" s="39">
        <f t="shared" ref="J8:J16" si="4">SUM(C8:H8)</f>
        <v>50151839.377722032</v>
      </c>
    </row>
    <row r="9" spans="1:11" ht="13.15" customHeight="1" x14ac:dyDescent="0.3">
      <c r="A9" s="36" t="s">
        <v>358</v>
      </c>
      <c r="B9" s="37"/>
      <c r="C9" s="324">
        <v>3064750.0942171877</v>
      </c>
      <c r="D9" s="324">
        <v>3228678.7936120038</v>
      </c>
      <c r="E9" s="324">
        <v>3308314.4167762101</v>
      </c>
      <c r="F9" s="324">
        <v>3388513.6499691433</v>
      </c>
      <c r="G9" s="324">
        <v>3450865.148747345</v>
      </c>
      <c r="H9" s="326">
        <v>3509392.6771238763</v>
      </c>
      <c r="I9" s="39">
        <f t="shared" si="1"/>
        <v>3325085.7967409617</v>
      </c>
      <c r="J9" s="39">
        <f t="shared" si="4"/>
        <v>19950514.780445769</v>
      </c>
    </row>
    <row r="10" spans="1:11" x14ac:dyDescent="0.3">
      <c r="A10" s="36" t="s">
        <v>359</v>
      </c>
      <c r="B10" s="37"/>
      <c r="C10" s="324">
        <v>2126452.7973753251</v>
      </c>
      <c r="D10" s="324">
        <v>2240193.4387594126</v>
      </c>
      <c r="E10" s="324">
        <v>2295447.9908247772</v>
      </c>
      <c r="F10" s="324">
        <v>2351093.5992847481</v>
      </c>
      <c r="G10" s="324">
        <v>2394355.6973095192</v>
      </c>
      <c r="H10" s="326">
        <v>2434964.563485777</v>
      </c>
      <c r="I10" s="39">
        <f t="shared" si="1"/>
        <v>2307084.6811732599</v>
      </c>
      <c r="J10" s="39">
        <f t="shared" si="4"/>
        <v>13842508.087039558</v>
      </c>
    </row>
    <row r="11" spans="1:11" x14ac:dyDescent="0.3">
      <c r="A11" s="36" t="s">
        <v>461</v>
      </c>
      <c r="B11" s="37"/>
      <c r="C11" s="324">
        <v>292387.25963910721</v>
      </c>
      <c r="D11" s="324">
        <v>308026.59782941919</v>
      </c>
      <c r="E11" s="324">
        <v>315624.09873840678</v>
      </c>
      <c r="F11" s="324">
        <v>323275.3699016528</v>
      </c>
      <c r="G11" s="324">
        <v>329223.90838005883</v>
      </c>
      <c r="H11" s="326">
        <v>334807.62747929431</v>
      </c>
      <c r="I11" s="39">
        <f t="shared" si="1"/>
        <v>317224.14366132318</v>
      </c>
      <c r="J11" s="39">
        <f t="shared" si="4"/>
        <v>1903344.8619679392</v>
      </c>
    </row>
    <row r="12" spans="1:11" x14ac:dyDescent="0.3">
      <c r="A12" s="115" t="s">
        <v>332</v>
      </c>
      <c r="B12" s="53"/>
      <c r="C12" s="318">
        <v>69109.71591469807</v>
      </c>
      <c r="D12" s="319">
        <v>72806.286759680908</v>
      </c>
      <c r="E12" s="319">
        <v>74602.05970180525</v>
      </c>
      <c r="F12" s="319">
        <v>76410.541976754306</v>
      </c>
      <c r="G12" s="319">
        <v>77816.56016255937</v>
      </c>
      <c r="H12" s="320">
        <v>79136.348313287745</v>
      </c>
      <c r="I12" s="301">
        <f t="shared" si="1"/>
        <v>74980.252138130949</v>
      </c>
      <c r="J12" s="301">
        <f t="shared" si="4"/>
        <v>449881.51282878569</v>
      </c>
    </row>
    <row r="13" spans="1:11" x14ac:dyDescent="0.3">
      <c r="A13" s="115" t="s">
        <v>463</v>
      </c>
      <c r="B13" s="53"/>
      <c r="C13" s="318">
        <v>17277.428978674518</v>
      </c>
      <c r="D13" s="319">
        <v>18201.571689920227</v>
      </c>
      <c r="E13" s="319">
        <v>18650.514925451313</v>
      </c>
      <c r="F13" s="319">
        <v>19102.635494188577</v>
      </c>
      <c r="G13" s="319">
        <v>19454.140040639842</v>
      </c>
      <c r="H13" s="320">
        <v>19784.087078321936</v>
      </c>
      <c r="I13" s="301">
        <f t="shared" ref="I13" si="5">IFERROR(AVERAGE(C13:H13),0)</f>
        <v>18745.063034532737</v>
      </c>
      <c r="J13" s="301">
        <f t="shared" ref="J13" si="6">SUM(C13:H13)</f>
        <v>112470.37820719642</v>
      </c>
    </row>
    <row r="14" spans="1:11" x14ac:dyDescent="0.3">
      <c r="A14" s="115" t="s">
        <v>360</v>
      </c>
      <c r="B14" s="53"/>
      <c r="C14" s="318">
        <v>16147.750930068876</v>
      </c>
      <c r="D14" s="319">
        <v>17011.468925579291</v>
      </c>
      <c r="E14" s="319">
        <v>17431.05818032565</v>
      </c>
      <c r="F14" s="319">
        <v>17853.617019568555</v>
      </c>
      <c r="G14" s="319">
        <v>18182.138576444162</v>
      </c>
      <c r="H14" s="320">
        <v>18490.512153970118</v>
      </c>
      <c r="I14" s="301">
        <f t="shared" si="1"/>
        <v>17519.424297659443</v>
      </c>
      <c r="J14" s="301">
        <f t="shared" ref="J14" si="7">SUM(C14:H14)</f>
        <v>105116.54578595667</v>
      </c>
    </row>
    <row r="15" spans="1:11" x14ac:dyDescent="0.3">
      <c r="A15" s="617" t="s">
        <v>532</v>
      </c>
      <c r="B15" s="618"/>
      <c r="C15" s="619">
        <v>2393841.4089250886</v>
      </c>
      <c r="D15" s="619">
        <v>2428701.6518040416</v>
      </c>
      <c r="E15" s="619">
        <v>2445949.4763339763</v>
      </c>
      <c r="F15" s="619">
        <v>2465995.356349173</v>
      </c>
      <c r="G15" s="619">
        <v>2473046.2587325047</v>
      </c>
      <c r="H15" s="620">
        <v>2476494.9852180141</v>
      </c>
      <c r="I15" s="621">
        <f t="shared" si="1"/>
        <v>2447338.1895604669</v>
      </c>
      <c r="J15" s="621">
        <f t="shared" ref="J15" si="8">SUM(C15:H15)</f>
        <v>14684029.137362801</v>
      </c>
    </row>
    <row r="16" spans="1:11" x14ac:dyDescent="0.3">
      <c r="A16" s="18" t="s">
        <v>373</v>
      </c>
      <c r="B16" s="34"/>
      <c r="C16" s="60">
        <f>C7+C12+C13+C14+C15</f>
        <v>15684171.392520869</v>
      </c>
      <c r="D16" s="19">
        <f t="shared" ref="D16:H16" si="9">D7+D12+D13+D14+D15</f>
        <v>16429910.644050369</v>
      </c>
      <c r="E16" s="19">
        <f t="shared" si="9"/>
        <v>16792499.418988831</v>
      </c>
      <c r="F16" s="19">
        <f t="shared" si="9"/>
        <v>17160330.351878848</v>
      </c>
      <c r="G16" s="19">
        <f t="shared" si="9"/>
        <v>17437769.366916999</v>
      </c>
      <c r="H16" s="35">
        <f t="shared" si="9"/>
        <v>17695023.507004116</v>
      </c>
      <c r="I16" s="35">
        <f t="shared" si="1"/>
        <v>16866617.446893338</v>
      </c>
      <c r="J16" s="35">
        <f t="shared" si="4"/>
        <v>101199704.68136004</v>
      </c>
    </row>
    <row r="18" spans="1:10" x14ac:dyDescent="0.3">
      <c r="A18" s="42" t="s">
        <v>104</v>
      </c>
      <c r="B18" s="310"/>
      <c r="C18" s="44"/>
      <c r="D18" s="44"/>
      <c r="E18" s="44"/>
      <c r="F18" s="44"/>
      <c r="G18" s="44"/>
      <c r="H18" s="44"/>
      <c r="I18" s="44"/>
      <c r="J18" s="44"/>
    </row>
    <row r="19" spans="1:10" customFormat="1" ht="14.5" x14ac:dyDescent="0.35">
      <c r="B19" s="311"/>
      <c r="F19" s="158"/>
    </row>
    <row r="20" spans="1:10" ht="26" x14ac:dyDescent="0.3">
      <c r="A20" s="668" t="s">
        <v>337</v>
      </c>
      <c r="B20" s="678" t="s">
        <v>335</v>
      </c>
      <c r="C20" s="305">
        <f>Annee</f>
        <v>2024</v>
      </c>
      <c r="D20" s="291">
        <f>C20+1</f>
        <v>2025</v>
      </c>
      <c r="E20" s="291">
        <f t="shared" ref="E20:G20" si="10">D20+1</f>
        <v>2026</v>
      </c>
      <c r="F20" s="291">
        <f t="shared" si="10"/>
        <v>2027</v>
      </c>
      <c r="G20" s="291">
        <f t="shared" si="10"/>
        <v>2028</v>
      </c>
      <c r="H20" s="295">
        <f>G20+1</f>
        <v>2029</v>
      </c>
      <c r="I20" s="179" t="s">
        <v>271</v>
      </c>
      <c r="J20" s="4" t="s">
        <v>62</v>
      </c>
    </row>
    <row r="21" spans="1:10" x14ac:dyDescent="0.3">
      <c r="A21" s="669"/>
      <c r="B21" s="679"/>
      <c r="C21" s="306">
        <v>12</v>
      </c>
      <c r="D21" s="77">
        <v>12</v>
      </c>
      <c r="E21" s="77">
        <v>12</v>
      </c>
      <c r="F21" s="77">
        <v>12</v>
      </c>
      <c r="G21" s="77">
        <v>12</v>
      </c>
      <c r="H21" s="77">
        <v>12</v>
      </c>
      <c r="I21" s="78">
        <f>IFERROR(AVERAGE(C21:H21),0)</f>
        <v>12</v>
      </c>
      <c r="J21" s="78">
        <f>SUM(C21:H21)</f>
        <v>72</v>
      </c>
    </row>
    <row r="22" spans="1:10" x14ac:dyDescent="0.3">
      <c r="A22" s="115" t="s">
        <v>68</v>
      </c>
      <c r="B22" s="53"/>
      <c r="C22" s="223">
        <f>SUM(C23:C39)</f>
        <v>5235718.2081660321</v>
      </c>
      <c r="D22" s="221">
        <f t="shared" ref="D22:H22" si="11">SUM(D23:D39)</f>
        <v>5504346.8900845461</v>
      </c>
      <c r="E22" s="221">
        <f t="shared" si="11"/>
        <v>5628981.3335056314</v>
      </c>
      <c r="F22" s="221">
        <f t="shared" si="11"/>
        <v>5732778.2049137251</v>
      </c>
      <c r="G22" s="221">
        <f t="shared" si="11"/>
        <v>5804977.0768210003</v>
      </c>
      <c r="H22" s="222">
        <f t="shared" si="11"/>
        <v>5869209.3058792697</v>
      </c>
      <c r="I22" s="301">
        <f t="shared" ref="I22:I110" si="12">IFERROR(AVERAGE(C22:H22),0)</f>
        <v>5629335.1698950343</v>
      </c>
      <c r="J22" s="301">
        <f>SUM(C22:H22)</f>
        <v>33776011.019370206</v>
      </c>
    </row>
    <row r="23" spans="1:10" x14ac:dyDescent="0.3">
      <c r="A23" s="30" t="s">
        <v>480</v>
      </c>
      <c r="B23" s="307" t="s">
        <v>226</v>
      </c>
      <c r="C23" s="315">
        <v>2047133.7113859705</v>
      </c>
      <c r="D23" s="316">
        <v>2164673.5850122487</v>
      </c>
      <c r="E23" s="316">
        <v>2226034.7825460867</v>
      </c>
      <c r="F23" s="316">
        <v>2268826.6664337656</v>
      </c>
      <c r="G23" s="316">
        <v>2299043.7643931168</v>
      </c>
      <c r="H23" s="317">
        <v>2326000.3557449738</v>
      </c>
      <c r="I23" s="14">
        <f t="shared" si="12"/>
        <v>2221952.1442526933</v>
      </c>
      <c r="J23" s="14">
        <f t="shared" ref="J23:J93" si="13">SUM(C23:H23)</f>
        <v>13331712.86551616</v>
      </c>
    </row>
    <row r="24" spans="1:10" x14ac:dyDescent="0.3">
      <c r="A24" s="30" t="s">
        <v>481</v>
      </c>
      <c r="B24" s="307" t="s">
        <v>482</v>
      </c>
      <c r="C24" s="315">
        <v>192474.74609205741</v>
      </c>
      <c r="D24" s="316">
        <v>203526.04383966478</v>
      </c>
      <c r="E24" s="316">
        <v>209295.32931054287</v>
      </c>
      <c r="F24" s="316">
        <v>213318.70255245449</v>
      </c>
      <c r="G24" s="316">
        <v>216159.77387719348</v>
      </c>
      <c r="H24" s="317">
        <v>218694.28671855087</v>
      </c>
      <c r="I24" s="14">
        <f t="shared" si="12"/>
        <v>208911.48039841067</v>
      </c>
      <c r="J24" s="14">
        <f t="shared" si="13"/>
        <v>1253468.882390464</v>
      </c>
    </row>
    <row r="25" spans="1:10" x14ac:dyDescent="0.3">
      <c r="A25" s="30" t="s">
        <v>211</v>
      </c>
      <c r="B25" s="307" t="s">
        <v>226</v>
      </c>
      <c r="C25" s="315">
        <v>155787.80489085763</v>
      </c>
      <c r="D25" s="316">
        <v>164754.66460185044</v>
      </c>
      <c r="E25" s="316">
        <v>169433.01348707711</v>
      </c>
      <c r="F25" s="316">
        <v>172711.16872896621</v>
      </c>
      <c r="G25" s="316">
        <v>175016.36791313198</v>
      </c>
      <c r="H25" s="317">
        <v>177056.5913770406</v>
      </c>
      <c r="I25" s="14">
        <f t="shared" si="12"/>
        <v>169126.60183315401</v>
      </c>
      <c r="J25" s="14">
        <f t="shared" si="13"/>
        <v>1014759.610998924</v>
      </c>
    </row>
    <row r="26" spans="1:10" x14ac:dyDescent="0.3">
      <c r="A26" s="30" t="s">
        <v>61</v>
      </c>
      <c r="B26" s="307" t="s">
        <v>226</v>
      </c>
      <c r="C26" s="315">
        <v>448738.45068720501</v>
      </c>
      <c r="D26" s="316">
        <v>475114.65373025095</v>
      </c>
      <c r="E26" s="316">
        <v>489310.51119295583</v>
      </c>
      <c r="F26" s="316">
        <v>499281.32531236706</v>
      </c>
      <c r="G26" s="316">
        <v>506465.50477400946</v>
      </c>
      <c r="H26" s="317">
        <v>512884.52653884504</v>
      </c>
      <c r="I26" s="14">
        <f t="shared" si="12"/>
        <v>488632.49537260557</v>
      </c>
      <c r="J26" s="14">
        <f t="shared" si="13"/>
        <v>2931794.9722356335</v>
      </c>
    </row>
    <row r="27" spans="1:10" x14ac:dyDescent="0.3">
      <c r="A27" s="30" t="s">
        <v>212</v>
      </c>
      <c r="B27" s="307" t="s">
        <v>226</v>
      </c>
      <c r="C27" s="315">
        <v>427932.20281121228</v>
      </c>
      <c r="D27" s="316">
        <v>447907.06071875559</v>
      </c>
      <c r="E27" s="316">
        <v>456305.94215433573</v>
      </c>
      <c r="F27" s="316">
        <v>465046.99289870192</v>
      </c>
      <c r="G27" s="316">
        <v>471145.09725535609</v>
      </c>
      <c r="H27" s="317">
        <v>476400.52082000492</v>
      </c>
      <c r="I27" s="14">
        <f t="shared" si="12"/>
        <v>457456.30277639441</v>
      </c>
      <c r="J27" s="14">
        <f t="shared" si="13"/>
        <v>2744737.8166583665</v>
      </c>
    </row>
    <row r="28" spans="1:10" x14ac:dyDescent="0.3">
      <c r="A28" s="30" t="s">
        <v>213</v>
      </c>
      <c r="B28" s="307" t="s">
        <v>226</v>
      </c>
      <c r="C28" s="315">
        <v>148041.56986816757</v>
      </c>
      <c r="D28" s="316">
        <v>154951.80218550513</v>
      </c>
      <c r="E28" s="316">
        <v>157857.36627139937</v>
      </c>
      <c r="F28" s="316">
        <v>160881.3042971559</v>
      </c>
      <c r="G28" s="316">
        <v>162990.92490254849</v>
      </c>
      <c r="H28" s="317">
        <v>164809.02310147093</v>
      </c>
      <c r="I28" s="14">
        <f t="shared" si="12"/>
        <v>158255.33177104124</v>
      </c>
      <c r="J28" s="14">
        <f t="shared" si="13"/>
        <v>949531.99062624737</v>
      </c>
    </row>
    <row r="29" spans="1:10" x14ac:dyDescent="0.3">
      <c r="A29" s="30" t="s">
        <v>7</v>
      </c>
      <c r="B29" s="307" t="s">
        <v>483</v>
      </c>
      <c r="C29" s="315">
        <v>8080.4868231876326</v>
      </c>
      <c r="D29" s="316">
        <v>8454.7975475455951</v>
      </c>
      <c r="E29" s="316">
        <v>8607.0566559134277</v>
      </c>
      <c r="F29" s="316">
        <v>8773.5923005908808</v>
      </c>
      <c r="G29" s="316">
        <v>8890.7023384194545</v>
      </c>
      <c r="H29" s="317">
        <v>8994.3515211306039</v>
      </c>
      <c r="I29" s="14">
        <f t="shared" si="12"/>
        <v>8633.497864464598</v>
      </c>
      <c r="J29" s="14">
        <f t="shared" si="13"/>
        <v>51800.987186787592</v>
      </c>
    </row>
    <row r="30" spans="1:10" x14ac:dyDescent="0.3">
      <c r="A30" s="30" t="s">
        <v>212</v>
      </c>
      <c r="B30" s="307" t="s">
        <v>218</v>
      </c>
      <c r="C30" s="315">
        <v>707695.47848418332</v>
      </c>
      <c r="D30" s="316">
        <v>736445.82556285604</v>
      </c>
      <c r="E30" s="316">
        <v>745161.6132058918</v>
      </c>
      <c r="F30" s="316">
        <v>756054.58779444813</v>
      </c>
      <c r="G30" s="316">
        <v>762792.94992953097</v>
      </c>
      <c r="H30" s="317">
        <v>768635.06668560917</v>
      </c>
      <c r="I30" s="14">
        <f t="shared" si="12"/>
        <v>746130.92027708655</v>
      </c>
      <c r="J30" s="14">
        <f t="shared" si="13"/>
        <v>4476785.5216625193</v>
      </c>
    </row>
    <row r="31" spans="1:10" x14ac:dyDescent="0.3">
      <c r="A31" s="30" t="s">
        <v>213</v>
      </c>
      <c r="B31" s="307" t="s">
        <v>218</v>
      </c>
      <c r="C31" s="315">
        <v>743680.69830766215</v>
      </c>
      <c r="D31" s="316">
        <v>773773.62597759499</v>
      </c>
      <c r="E31" s="316">
        <v>782805.56871655257</v>
      </c>
      <c r="F31" s="316">
        <v>794124.32823924045</v>
      </c>
      <c r="G31" s="316">
        <v>801085.01687260508</v>
      </c>
      <c r="H31" s="317">
        <v>807108.16111340292</v>
      </c>
      <c r="I31" s="14">
        <f t="shared" si="12"/>
        <v>783762.89987117646</v>
      </c>
      <c r="J31" s="14">
        <f t="shared" si="13"/>
        <v>4702577.3992270585</v>
      </c>
    </row>
    <row r="32" spans="1:10" x14ac:dyDescent="0.3">
      <c r="A32" s="30" t="s">
        <v>214</v>
      </c>
      <c r="B32" s="307" t="s">
        <v>484</v>
      </c>
      <c r="C32" s="315">
        <v>0</v>
      </c>
      <c r="D32" s="316">
        <v>0</v>
      </c>
      <c r="E32" s="316">
        <v>0</v>
      </c>
      <c r="F32" s="316">
        <v>0</v>
      </c>
      <c r="G32" s="316">
        <v>0</v>
      </c>
      <c r="H32" s="317">
        <v>0</v>
      </c>
      <c r="I32" s="14">
        <f t="shared" si="12"/>
        <v>0</v>
      </c>
      <c r="J32" s="14">
        <f t="shared" si="13"/>
        <v>0</v>
      </c>
    </row>
    <row r="33" spans="1:10" x14ac:dyDescent="0.3">
      <c r="A33" s="30" t="s">
        <v>215</v>
      </c>
      <c r="B33" s="307" t="s">
        <v>485</v>
      </c>
      <c r="C33" s="315">
        <v>111308.79485680237</v>
      </c>
      <c r="D33" s="316">
        <v>117988.54740263158</v>
      </c>
      <c r="E33" s="316">
        <v>122008.97318305413</v>
      </c>
      <c r="F33" s="316">
        <v>125970.00780307762</v>
      </c>
      <c r="G33" s="316">
        <v>129419.00634631497</v>
      </c>
      <c r="H33" s="317">
        <v>132866.1868342713</v>
      </c>
      <c r="I33" s="14">
        <f t="shared" si="12"/>
        <v>123260.25273769199</v>
      </c>
      <c r="J33" s="14">
        <f t="shared" si="13"/>
        <v>739561.51642615197</v>
      </c>
    </row>
    <row r="34" spans="1:10" x14ac:dyDescent="0.3">
      <c r="A34" s="30" t="s">
        <v>216</v>
      </c>
      <c r="B34" s="307" t="s">
        <v>485</v>
      </c>
      <c r="C34" s="315">
        <v>40202.462902465661</v>
      </c>
      <c r="D34" s="316">
        <v>42615.061208154337</v>
      </c>
      <c r="E34" s="316">
        <v>44067.164790934876</v>
      </c>
      <c r="F34" s="316">
        <v>45497.817543253041</v>
      </c>
      <c r="G34" s="316">
        <v>46743.532901657658</v>
      </c>
      <c r="H34" s="317">
        <v>47988.591862844958</v>
      </c>
      <c r="I34" s="14">
        <f t="shared" si="12"/>
        <v>44519.105201551756</v>
      </c>
      <c r="J34" s="14">
        <f t="shared" si="13"/>
        <v>267114.63120931055</v>
      </c>
    </row>
    <row r="35" spans="1:10" x14ac:dyDescent="0.3">
      <c r="A35" s="30" t="s">
        <v>217</v>
      </c>
      <c r="B35" s="307" t="s">
        <v>219</v>
      </c>
      <c r="C35" s="315">
        <v>135699.08789377753</v>
      </c>
      <c r="D35" s="316">
        <v>141984.88362383257</v>
      </c>
      <c r="E35" s="316">
        <v>144596.53208666999</v>
      </c>
      <c r="F35" s="316">
        <v>147382.54152282703</v>
      </c>
      <c r="G35" s="316">
        <v>149329.60690512686</v>
      </c>
      <c r="H35" s="317">
        <v>151023.61419159413</v>
      </c>
      <c r="I35" s="14">
        <f t="shared" ref="I35:I36" si="14">IFERROR(AVERAGE(C35:H35),0)</f>
        <v>145002.71103730469</v>
      </c>
      <c r="J35" s="14">
        <f t="shared" ref="J35:J36" si="15">SUM(C35:H35)</f>
        <v>870016.26622382808</v>
      </c>
    </row>
    <row r="36" spans="1:10" x14ac:dyDescent="0.3">
      <c r="A36" s="30" t="s">
        <v>486</v>
      </c>
      <c r="B36" s="307" t="s">
        <v>487</v>
      </c>
      <c r="C36" s="315">
        <v>26683.225247896542</v>
      </c>
      <c r="D36" s="316">
        <v>27928.740228872211</v>
      </c>
      <c r="E36" s="316">
        <v>28452.445780651709</v>
      </c>
      <c r="F36" s="316">
        <v>28997.489409336267</v>
      </c>
      <c r="G36" s="316">
        <v>29377.735343606484</v>
      </c>
      <c r="H36" s="317">
        <v>29705.436747363172</v>
      </c>
      <c r="I36" s="14">
        <f t="shared" si="14"/>
        <v>28524.178792954393</v>
      </c>
      <c r="J36" s="14">
        <f t="shared" si="15"/>
        <v>171145.07275772636</v>
      </c>
    </row>
    <row r="37" spans="1:10" x14ac:dyDescent="0.3">
      <c r="A37" s="30" t="s">
        <v>488</v>
      </c>
      <c r="B37" s="307" t="s">
        <v>487</v>
      </c>
      <c r="C37" s="315">
        <v>8432.6313654734622</v>
      </c>
      <c r="D37" s="316">
        <v>8826.2522244840875</v>
      </c>
      <c r="E37" s="316">
        <v>8991.7596195524729</v>
      </c>
      <c r="F37" s="316">
        <v>9164.0122395803446</v>
      </c>
      <c r="G37" s="316">
        <v>9284.1844239318434</v>
      </c>
      <c r="H37" s="317">
        <v>9387.7510013753326</v>
      </c>
      <c r="I37" s="14">
        <f t="shared" si="12"/>
        <v>9014.4318123995909</v>
      </c>
      <c r="J37" s="14">
        <f t="shared" si="13"/>
        <v>54086.590874397545</v>
      </c>
    </row>
    <row r="38" spans="1:10" x14ac:dyDescent="0.3">
      <c r="A38" s="30" t="s">
        <v>489</v>
      </c>
      <c r="B38" s="307" t="s">
        <v>220</v>
      </c>
      <c r="C38" s="315">
        <v>6930.7411459053374</v>
      </c>
      <c r="D38" s="316">
        <v>7252.5394244449026</v>
      </c>
      <c r="E38" s="316">
        <v>7384.1318802428641</v>
      </c>
      <c r="F38" s="316">
        <v>7526.8612074406219</v>
      </c>
      <c r="G38" s="316">
        <v>7626.7137479025496</v>
      </c>
      <c r="H38" s="317">
        <v>7714.131509488182</v>
      </c>
      <c r="I38" s="14">
        <f t="shared" si="12"/>
        <v>7405.8531525707431</v>
      </c>
      <c r="J38" s="14">
        <f t="shared" si="13"/>
        <v>44435.118915424457</v>
      </c>
    </row>
    <row r="39" spans="1:10" x14ac:dyDescent="0.3">
      <c r="A39" s="30" t="s">
        <v>490</v>
      </c>
      <c r="B39" s="308" t="s">
        <v>220</v>
      </c>
      <c r="C39" s="315">
        <v>26896.115403207681</v>
      </c>
      <c r="D39" s="316">
        <v>28148.806795854434</v>
      </c>
      <c r="E39" s="316">
        <v>28669.142623767821</v>
      </c>
      <c r="F39" s="316">
        <v>29220.806630519535</v>
      </c>
      <c r="G39" s="316">
        <v>29606.194896547306</v>
      </c>
      <c r="H39" s="317">
        <v>29940.710111303411</v>
      </c>
      <c r="I39" s="14">
        <f t="shared" si="12"/>
        <v>28746.962743533364</v>
      </c>
      <c r="J39" s="14">
        <f t="shared" si="13"/>
        <v>172481.77646120018</v>
      </c>
    </row>
    <row r="40" spans="1:10" x14ac:dyDescent="0.3">
      <c r="A40" s="115" t="s">
        <v>330</v>
      </c>
      <c r="B40" s="53"/>
      <c r="C40" s="318">
        <v>17070.595557121505</v>
      </c>
      <c r="D40" s="319">
        <v>18050.734584362144</v>
      </c>
      <c r="E40" s="319">
        <v>18562.412048406062</v>
      </c>
      <c r="F40" s="319">
        <v>18919.244110186391</v>
      </c>
      <c r="G40" s="319">
        <v>19171.217811418042</v>
      </c>
      <c r="H40" s="320">
        <v>19396.002868694344</v>
      </c>
      <c r="I40" s="224">
        <f t="shared" si="12"/>
        <v>18528.367830031413</v>
      </c>
      <c r="J40" s="224">
        <f t="shared" si="13"/>
        <v>111170.20698018848</v>
      </c>
    </row>
    <row r="41" spans="1:10" x14ac:dyDescent="0.3">
      <c r="A41" s="115" t="s">
        <v>465</v>
      </c>
      <c r="B41" s="53"/>
      <c r="C41" s="318">
        <v>1993.1729143971745</v>
      </c>
      <c r="D41" s="319">
        <v>2107.6145315570775</v>
      </c>
      <c r="E41" s="319">
        <v>2167.3582973107159</v>
      </c>
      <c r="F41" s="319">
        <v>2209.022221580326</v>
      </c>
      <c r="G41" s="319">
        <v>2238.4428211578147</v>
      </c>
      <c r="H41" s="320">
        <v>2264.6888584577518</v>
      </c>
      <c r="I41" s="224">
        <f t="shared" ref="I41" si="16">IFERROR(AVERAGE(C41:H41),0)</f>
        <v>2163.3832740768098</v>
      </c>
      <c r="J41" s="224">
        <f t="shared" ref="J41" si="17">SUM(C41:H41)</f>
        <v>12980.29964446086</v>
      </c>
    </row>
    <row r="42" spans="1:10" x14ac:dyDescent="0.3">
      <c r="A42" s="115" t="s">
        <v>464</v>
      </c>
      <c r="B42" s="53"/>
      <c r="C42" s="318">
        <v>1784.6371982283699</v>
      </c>
      <c r="D42" s="319">
        <v>1887.1053611929181</v>
      </c>
      <c r="E42" s="319">
        <v>1940.5984354545822</v>
      </c>
      <c r="F42" s="319">
        <v>1977.9032716474844</v>
      </c>
      <c r="G42" s="319">
        <v>2004.2457409941783</v>
      </c>
      <c r="H42" s="320">
        <v>2027.7457866416091</v>
      </c>
      <c r="I42" s="224">
        <f t="shared" si="12"/>
        <v>1937.0392990265238</v>
      </c>
      <c r="J42" s="224">
        <f t="shared" si="13"/>
        <v>11622.235794159144</v>
      </c>
    </row>
    <row r="43" spans="1:10" x14ac:dyDescent="0.3">
      <c r="A43" s="115" t="s">
        <v>230</v>
      </c>
      <c r="B43" s="312"/>
      <c r="C43" s="177">
        <v>8730.5</v>
      </c>
      <c r="D43" s="298">
        <v>9968</v>
      </c>
      <c r="E43" s="298">
        <v>11132.5</v>
      </c>
      <c r="F43" s="298">
        <v>11873.5</v>
      </c>
      <c r="G43" s="298">
        <v>16318</v>
      </c>
      <c r="H43" s="299">
        <v>17340.5</v>
      </c>
      <c r="I43" s="300">
        <f t="shared" si="12"/>
        <v>12560.5</v>
      </c>
      <c r="J43" s="300">
        <f t="shared" si="13"/>
        <v>75363</v>
      </c>
    </row>
    <row r="44" spans="1:10" x14ac:dyDescent="0.3">
      <c r="A44" s="116" t="s">
        <v>229</v>
      </c>
      <c r="B44" s="313"/>
      <c r="C44" s="294">
        <f>SUM(C45:C58)</f>
        <v>1202</v>
      </c>
      <c r="D44" s="297">
        <f t="shared" ref="D44:H44" si="18">SUM(D45:D58)</f>
        <v>1273</v>
      </c>
      <c r="E44" s="297">
        <f t="shared" si="18"/>
        <v>1471</v>
      </c>
      <c r="F44" s="297">
        <f t="shared" si="18"/>
        <v>1594</v>
      </c>
      <c r="G44" s="297">
        <f t="shared" si="18"/>
        <v>2021</v>
      </c>
      <c r="H44" s="296">
        <f t="shared" si="18"/>
        <v>2144</v>
      </c>
      <c r="I44" s="62">
        <f t="shared" si="12"/>
        <v>1617.5</v>
      </c>
      <c r="J44" s="62">
        <f t="shared" si="13"/>
        <v>9705</v>
      </c>
    </row>
    <row r="45" spans="1:10" x14ac:dyDescent="0.3">
      <c r="A45" s="30" t="s">
        <v>221</v>
      </c>
      <c r="B45" s="290" t="s">
        <v>226</v>
      </c>
      <c r="C45" s="315">
        <v>0</v>
      </c>
      <c r="D45" s="316">
        <v>0</v>
      </c>
      <c r="E45" s="316">
        <v>0</v>
      </c>
      <c r="F45" s="316">
        <v>0</v>
      </c>
      <c r="G45" s="316">
        <v>0</v>
      </c>
      <c r="H45" s="317">
        <v>0</v>
      </c>
      <c r="I45" s="14">
        <f t="shared" si="12"/>
        <v>0</v>
      </c>
      <c r="J45" s="14">
        <f t="shared" si="13"/>
        <v>0</v>
      </c>
    </row>
    <row r="46" spans="1:10" x14ac:dyDescent="0.3">
      <c r="A46" s="30" t="s">
        <v>222</v>
      </c>
      <c r="B46" s="290" t="s">
        <v>226</v>
      </c>
      <c r="C46" s="315">
        <v>0</v>
      </c>
      <c r="D46" s="316">
        <v>0</v>
      </c>
      <c r="E46" s="316">
        <v>0</v>
      </c>
      <c r="F46" s="316">
        <v>0</v>
      </c>
      <c r="G46" s="316">
        <v>0</v>
      </c>
      <c r="H46" s="317">
        <v>0</v>
      </c>
      <c r="I46" s="14">
        <f t="shared" si="12"/>
        <v>0</v>
      </c>
      <c r="J46" s="14">
        <f t="shared" si="13"/>
        <v>0</v>
      </c>
    </row>
    <row r="47" spans="1:10" x14ac:dyDescent="0.3">
      <c r="A47" s="30" t="s">
        <v>223</v>
      </c>
      <c r="B47" s="290" t="s">
        <v>226</v>
      </c>
      <c r="C47" s="315">
        <v>0</v>
      </c>
      <c r="D47" s="316">
        <v>0</v>
      </c>
      <c r="E47" s="316">
        <v>0</v>
      </c>
      <c r="F47" s="316">
        <v>0</v>
      </c>
      <c r="G47" s="316">
        <v>0</v>
      </c>
      <c r="H47" s="317">
        <v>0</v>
      </c>
      <c r="I47" s="14">
        <f t="shared" si="12"/>
        <v>0</v>
      </c>
      <c r="J47" s="14">
        <f t="shared" si="13"/>
        <v>0</v>
      </c>
    </row>
    <row r="48" spans="1:10" x14ac:dyDescent="0.3">
      <c r="A48" s="30" t="s">
        <v>224</v>
      </c>
      <c r="B48" s="290" t="s">
        <v>226</v>
      </c>
      <c r="C48" s="315">
        <v>45</v>
      </c>
      <c r="D48" s="316">
        <v>45</v>
      </c>
      <c r="E48" s="316">
        <v>60</v>
      </c>
      <c r="F48" s="316">
        <v>60</v>
      </c>
      <c r="G48" s="316">
        <v>75</v>
      </c>
      <c r="H48" s="317">
        <v>75</v>
      </c>
      <c r="I48" s="14">
        <f t="shared" si="12"/>
        <v>60</v>
      </c>
      <c r="J48" s="14">
        <f t="shared" si="13"/>
        <v>360</v>
      </c>
    </row>
    <row r="49" spans="1:10" x14ac:dyDescent="0.3">
      <c r="A49" s="30" t="s">
        <v>225</v>
      </c>
      <c r="B49" s="290" t="s">
        <v>226</v>
      </c>
      <c r="C49" s="315">
        <v>0</v>
      </c>
      <c r="D49" s="316">
        <v>0</v>
      </c>
      <c r="E49" s="316">
        <v>0</v>
      </c>
      <c r="F49" s="316">
        <v>0</v>
      </c>
      <c r="G49" s="316">
        <v>0</v>
      </c>
      <c r="H49" s="317">
        <v>0</v>
      </c>
      <c r="I49" s="14">
        <f t="shared" si="12"/>
        <v>0</v>
      </c>
      <c r="J49" s="14">
        <f t="shared" si="13"/>
        <v>0</v>
      </c>
    </row>
    <row r="50" spans="1:10" x14ac:dyDescent="0.3">
      <c r="A50" s="526" t="s">
        <v>503</v>
      </c>
      <c r="B50" s="290" t="s">
        <v>226</v>
      </c>
      <c r="C50" s="524">
        <v>225</v>
      </c>
      <c r="D50" s="514">
        <v>225</v>
      </c>
      <c r="E50" s="514">
        <v>300</v>
      </c>
      <c r="F50" s="514">
        <v>300</v>
      </c>
      <c r="G50" s="514">
        <v>375</v>
      </c>
      <c r="H50" s="515">
        <v>375</v>
      </c>
      <c r="I50" s="527">
        <f t="shared" si="12"/>
        <v>300</v>
      </c>
      <c r="J50" s="527">
        <f t="shared" si="13"/>
        <v>1800</v>
      </c>
    </row>
    <row r="51" spans="1:10" x14ac:dyDescent="0.3">
      <c r="A51" s="526" t="s">
        <v>504</v>
      </c>
      <c r="B51" s="290" t="s">
        <v>226</v>
      </c>
      <c r="C51" s="524">
        <v>216</v>
      </c>
      <c r="D51" s="514">
        <v>216</v>
      </c>
      <c r="E51" s="514">
        <v>324</v>
      </c>
      <c r="F51" s="514">
        <v>324</v>
      </c>
      <c r="G51" s="514">
        <v>324</v>
      </c>
      <c r="H51" s="515">
        <v>324</v>
      </c>
      <c r="I51" s="527">
        <f t="shared" si="12"/>
        <v>288</v>
      </c>
      <c r="J51" s="527">
        <f t="shared" si="13"/>
        <v>1728</v>
      </c>
    </row>
    <row r="52" spans="1:10" x14ac:dyDescent="0.3">
      <c r="A52" s="30" t="s">
        <v>221</v>
      </c>
      <c r="B52" s="290" t="s">
        <v>227</v>
      </c>
      <c r="C52" s="315">
        <v>0</v>
      </c>
      <c r="D52" s="316">
        <v>0</v>
      </c>
      <c r="E52" s="316">
        <v>0</v>
      </c>
      <c r="F52" s="316">
        <v>0</v>
      </c>
      <c r="G52" s="316">
        <v>0</v>
      </c>
      <c r="H52" s="317">
        <v>0</v>
      </c>
      <c r="I52" s="14">
        <f t="shared" si="12"/>
        <v>0</v>
      </c>
      <c r="J52" s="14">
        <f t="shared" si="13"/>
        <v>0</v>
      </c>
    </row>
    <row r="53" spans="1:10" x14ac:dyDescent="0.3">
      <c r="A53" s="30" t="s">
        <v>222</v>
      </c>
      <c r="B53" s="290" t="s">
        <v>227</v>
      </c>
      <c r="C53" s="315">
        <v>0</v>
      </c>
      <c r="D53" s="316">
        <v>0</v>
      </c>
      <c r="E53" s="316">
        <v>0</v>
      </c>
      <c r="F53" s="316">
        <v>0</v>
      </c>
      <c r="G53" s="316">
        <v>0</v>
      </c>
      <c r="H53" s="317">
        <v>0</v>
      </c>
      <c r="I53" s="14">
        <f t="shared" si="12"/>
        <v>0</v>
      </c>
      <c r="J53" s="14">
        <f t="shared" si="13"/>
        <v>0</v>
      </c>
    </row>
    <row r="54" spans="1:10" x14ac:dyDescent="0.3">
      <c r="A54" s="30" t="s">
        <v>223</v>
      </c>
      <c r="B54" s="290" t="s">
        <v>227</v>
      </c>
      <c r="C54" s="315">
        <v>0</v>
      </c>
      <c r="D54" s="316">
        <v>0</v>
      </c>
      <c r="E54" s="316">
        <v>0</v>
      </c>
      <c r="F54" s="316">
        <v>0</v>
      </c>
      <c r="G54" s="316">
        <v>0</v>
      </c>
      <c r="H54" s="317">
        <v>0</v>
      </c>
      <c r="I54" s="14">
        <f t="shared" si="12"/>
        <v>0</v>
      </c>
      <c r="J54" s="14">
        <f t="shared" si="13"/>
        <v>0</v>
      </c>
    </row>
    <row r="55" spans="1:10" x14ac:dyDescent="0.3">
      <c r="A55" s="30" t="s">
        <v>224</v>
      </c>
      <c r="B55" s="290" t="s">
        <v>227</v>
      </c>
      <c r="C55" s="315">
        <v>50</v>
      </c>
      <c r="D55" s="316">
        <v>70</v>
      </c>
      <c r="E55" s="316">
        <v>70</v>
      </c>
      <c r="F55" s="316">
        <v>70</v>
      </c>
      <c r="G55" s="316">
        <v>110</v>
      </c>
      <c r="H55" s="317">
        <v>110</v>
      </c>
      <c r="I55" s="14">
        <f t="shared" si="12"/>
        <v>80</v>
      </c>
      <c r="J55" s="14">
        <f t="shared" si="13"/>
        <v>480</v>
      </c>
    </row>
    <row r="56" spans="1:10" x14ac:dyDescent="0.3">
      <c r="A56" s="30" t="s">
        <v>225</v>
      </c>
      <c r="B56" s="290" t="s">
        <v>227</v>
      </c>
      <c r="C56" s="315">
        <v>0</v>
      </c>
      <c r="D56" s="316">
        <v>0</v>
      </c>
      <c r="E56" s="316">
        <v>0</v>
      </c>
      <c r="F56" s="316">
        <v>0</v>
      </c>
      <c r="G56" s="316">
        <v>0</v>
      </c>
      <c r="H56" s="317">
        <v>0</v>
      </c>
      <c r="I56" s="14">
        <f t="shared" si="12"/>
        <v>0</v>
      </c>
      <c r="J56" s="14">
        <f t="shared" si="13"/>
        <v>0</v>
      </c>
    </row>
    <row r="57" spans="1:10" x14ac:dyDescent="0.3">
      <c r="A57" s="526" t="s">
        <v>503</v>
      </c>
      <c r="B57" s="290" t="s">
        <v>227</v>
      </c>
      <c r="C57" s="524">
        <v>306</v>
      </c>
      <c r="D57" s="514">
        <v>357</v>
      </c>
      <c r="E57" s="514">
        <v>357</v>
      </c>
      <c r="F57" s="514">
        <v>408</v>
      </c>
      <c r="G57" s="514">
        <v>561</v>
      </c>
      <c r="H57" s="515">
        <v>612</v>
      </c>
      <c r="I57" s="527">
        <f t="shared" si="12"/>
        <v>433.5</v>
      </c>
      <c r="J57" s="527">
        <f t="shared" si="13"/>
        <v>2601</v>
      </c>
    </row>
    <row r="58" spans="1:10" x14ac:dyDescent="0.3">
      <c r="A58" s="526" t="s">
        <v>504</v>
      </c>
      <c r="B58" s="290" t="s">
        <v>227</v>
      </c>
      <c r="C58" s="524">
        <v>360</v>
      </c>
      <c r="D58" s="514">
        <v>360</v>
      </c>
      <c r="E58" s="514">
        <v>360</v>
      </c>
      <c r="F58" s="514">
        <v>432</v>
      </c>
      <c r="G58" s="514">
        <v>576</v>
      </c>
      <c r="H58" s="515">
        <v>648</v>
      </c>
      <c r="I58" s="527">
        <f t="shared" si="12"/>
        <v>456</v>
      </c>
      <c r="J58" s="527">
        <f t="shared" si="13"/>
        <v>2736</v>
      </c>
    </row>
    <row r="59" spans="1:10" x14ac:dyDescent="0.3">
      <c r="A59" s="116" t="s">
        <v>324</v>
      </c>
      <c r="B59" s="313"/>
      <c r="C59" s="534">
        <f>SUM(C60:C73)</f>
        <v>6568.5</v>
      </c>
      <c r="D59" s="535">
        <f t="shared" ref="D59:H59" si="19">SUM(D60:D73)</f>
        <v>7720</v>
      </c>
      <c r="E59" s="535">
        <f t="shared" si="19"/>
        <v>8364.5</v>
      </c>
      <c r="F59" s="535">
        <f t="shared" si="19"/>
        <v>8915</v>
      </c>
      <c r="G59" s="535">
        <f t="shared" si="19"/>
        <v>12192.5</v>
      </c>
      <c r="H59" s="536">
        <f t="shared" si="19"/>
        <v>12987</v>
      </c>
      <c r="I59" s="62">
        <f t="shared" si="12"/>
        <v>9457.9166666666661</v>
      </c>
      <c r="J59" s="62">
        <f t="shared" si="13"/>
        <v>56747.5</v>
      </c>
    </row>
    <row r="60" spans="1:10" x14ac:dyDescent="0.3">
      <c r="A60" s="30" t="s">
        <v>221</v>
      </c>
      <c r="B60" s="290" t="s">
        <v>226</v>
      </c>
      <c r="C60" s="315">
        <v>0</v>
      </c>
      <c r="D60" s="316">
        <v>0</v>
      </c>
      <c r="E60" s="316">
        <v>0</v>
      </c>
      <c r="F60" s="316">
        <v>0</v>
      </c>
      <c r="G60" s="316">
        <v>0</v>
      </c>
      <c r="H60" s="317">
        <v>0</v>
      </c>
      <c r="I60" s="14">
        <f t="shared" si="12"/>
        <v>0</v>
      </c>
      <c r="J60" s="14">
        <f t="shared" si="13"/>
        <v>0</v>
      </c>
    </row>
    <row r="61" spans="1:10" x14ac:dyDescent="0.3">
      <c r="A61" s="30" t="s">
        <v>222</v>
      </c>
      <c r="B61" s="290" t="s">
        <v>226</v>
      </c>
      <c r="C61" s="315">
        <v>0</v>
      </c>
      <c r="D61" s="316">
        <v>0</v>
      </c>
      <c r="E61" s="316">
        <v>0</v>
      </c>
      <c r="F61" s="316">
        <v>0</v>
      </c>
      <c r="G61" s="316">
        <v>0</v>
      </c>
      <c r="H61" s="317">
        <v>0</v>
      </c>
      <c r="I61" s="14">
        <f t="shared" si="12"/>
        <v>0</v>
      </c>
      <c r="J61" s="14">
        <f t="shared" si="13"/>
        <v>0</v>
      </c>
    </row>
    <row r="62" spans="1:10" x14ac:dyDescent="0.3">
      <c r="A62" s="30" t="s">
        <v>223</v>
      </c>
      <c r="B62" s="290" t="s">
        <v>226</v>
      </c>
      <c r="C62" s="315">
        <v>0</v>
      </c>
      <c r="D62" s="316">
        <v>0</v>
      </c>
      <c r="E62" s="316">
        <v>0</v>
      </c>
      <c r="F62" s="316">
        <v>0</v>
      </c>
      <c r="G62" s="316">
        <v>0</v>
      </c>
      <c r="H62" s="317">
        <v>0</v>
      </c>
      <c r="I62" s="14">
        <f t="shared" si="12"/>
        <v>0</v>
      </c>
      <c r="J62" s="14">
        <f t="shared" si="13"/>
        <v>0</v>
      </c>
    </row>
    <row r="63" spans="1:10" x14ac:dyDescent="0.3">
      <c r="A63" s="30" t="s">
        <v>224</v>
      </c>
      <c r="B63" s="290" t="s">
        <v>226</v>
      </c>
      <c r="C63" s="315">
        <v>240</v>
      </c>
      <c r="D63" s="316">
        <v>280</v>
      </c>
      <c r="E63" s="316">
        <v>320</v>
      </c>
      <c r="F63" s="316">
        <v>320</v>
      </c>
      <c r="G63" s="316">
        <v>440</v>
      </c>
      <c r="H63" s="317">
        <v>480</v>
      </c>
      <c r="I63" s="14">
        <f t="shared" si="12"/>
        <v>346.66666666666669</v>
      </c>
      <c r="J63" s="14">
        <f t="shared" si="13"/>
        <v>2080</v>
      </c>
    </row>
    <row r="64" spans="1:10" x14ac:dyDescent="0.3">
      <c r="A64" s="30" t="s">
        <v>225</v>
      </c>
      <c r="B64" s="290" t="s">
        <v>226</v>
      </c>
      <c r="C64" s="315">
        <v>0</v>
      </c>
      <c r="D64" s="316">
        <v>0</v>
      </c>
      <c r="E64" s="316">
        <v>0</v>
      </c>
      <c r="F64" s="316">
        <v>0</v>
      </c>
      <c r="G64" s="316">
        <v>0</v>
      </c>
      <c r="H64" s="317">
        <v>0</v>
      </c>
      <c r="I64" s="14">
        <f t="shared" si="12"/>
        <v>0</v>
      </c>
      <c r="J64" s="14">
        <f t="shared" si="13"/>
        <v>0</v>
      </c>
    </row>
    <row r="65" spans="1:10" x14ac:dyDescent="0.3">
      <c r="A65" s="526" t="s">
        <v>503</v>
      </c>
      <c r="B65" s="290" t="s">
        <v>226</v>
      </c>
      <c r="C65" s="524">
        <v>1224</v>
      </c>
      <c r="D65" s="514">
        <v>1428</v>
      </c>
      <c r="E65" s="514">
        <v>1632</v>
      </c>
      <c r="F65" s="514">
        <v>1632</v>
      </c>
      <c r="G65" s="514">
        <v>2244</v>
      </c>
      <c r="H65" s="515">
        <v>2448</v>
      </c>
      <c r="I65" s="527">
        <f t="shared" si="12"/>
        <v>1768</v>
      </c>
      <c r="J65" s="527">
        <f t="shared" si="13"/>
        <v>10608</v>
      </c>
    </row>
    <row r="66" spans="1:10" x14ac:dyDescent="0.3">
      <c r="A66" s="526" t="s">
        <v>504</v>
      </c>
      <c r="B66" s="290" t="s">
        <v>226</v>
      </c>
      <c r="C66" s="524">
        <v>891</v>
      </c>
      <c r="D66" s="514">
        <v>1188</v>
      </c>
      <c r="E66" s="514">
        <v>1188</v>
      </c>
      <c r="F66" s="514">
        <v>1188</v>
      </c>
      <c r="G66" s="514">
        <v>1782</v>
      </c>
      <c r="H66" s="515">
        <v>1782</v>
      </c>
      <c r="I66" s="527">
        <f t="shared" si="12"/>
        <v>1336.5</v>
      </c>
      <c r="J66" s="527">
        <f t="shared" si="13"/>
        <v>8019</v>
      </c>
    </row>
    <row r="67" spans="1:10" x14ac:dyDescent="0.3">
      <c r="A67" s="30" t="s">
        <v>221</v>
      </c>
      <c r="B67" s="290" t="s">
        <v>227</v>
      </c>
      <c r="C67" s="315">
        <v>0</v>
      </c>
      <c r="D67" s="316">
        <v>0</v>
      </c>
      <c r="E67" s="316">
        <v>0</v>
      </c>
      <c r="F67" s="316">
        <v>0</v>
      </c>
      <c r="G67" s="316">
        <v>0</v>
      </c>
      <c r="H67" s="317">
        <v>0</v>
      </c>
      <c r="I67" s="14">
        <f t="shared" si="12"/>
        <v>0</v>
      </c>
      <c r="J67" s="14">
        <f t="shared" si="13"/>
        <v>0</v>
      </c>
    </row>
    <row r="68" spans="1:10" x14ac:dyDescent="0.3">
      <c r="A68" s="30" t="s">
        <v>222</v>
      </c>
      <c r="B68" s="290" t="s">
        <v>227</v>
      </c>
      <c r="C68" s="315">
        <v>0</v>
      </c>
      <c r="D68" s="316">
        <v>0</v>
      </c>
      <c r="E68" s="316">
        <v>0</v>
      </c>
      <c r="F68" s="316">
        <v>0</v>
      </c>
      <c r="G68" s="316">
        <v>0</v>
      </c>
      <c r="H68" s="317">
        <v>0</v>
      </c>
      <c r="I68" s="14">
        <f t="shared" si="12"/>
        <v>0</v>
      </c>
      <c r="J68" s="14">
        <f t="shared" si="13"/>
        <v>0</v>
      </c>
    </row>
    <row r="69" spans="1:10" x14ac:dyDescent="0.3">
      <c r="A69" s="30" t="s">
        <v>223</v>
      </c>
      <c r="B69" s="290" t="s">
        <v>227</v>
      </c>
      <c r="C69" s="315">
        <v>0</v>
      </c>
      <c r="D69" s="316">
        <v>0</v>
      </c>
      <c r="E69" s="316">
        <v>0</v>
      </c>
      <c r="F69" s="316">
        <v>0</v>
      </c>
      <c r="G69" s="316">
        <v>0</v>
      </c>
      <c r="H69" s="317">
        <v>0</v>
      </c>
      <c r="I69" s="14">
        <f t="shared" si="12"/>
        <v>0</v>
      </c>
      <c r="J69" s="14">
        <f t="shared" si="13"/>
        <v>0</v>
      </c>
    </row>
    <row r="70" spans="1:10" x14ac:dyDescent="0.3">
      <c r="A70" s="30" t="s">
        <v>224</v>
      </c>
      <c r="B70" s="290" t="s">
        <v>227</v>
      </c>
      <c r="C70" s="315">
        <v>420</v>
      </c>
      <c r="D70" s="316">
        <v>510</v>
      </c>
      <c r="E70" s="316">
        <v>540</v>
      </c>
      <c r="F70" s="316">
        <v>570</v>
      </c>
      <c r="G70" s="316">
        <v>810</v>
      </c>
      <c r="H70" s="317">
        <v>840</v>
      </c>
      <c r="I70" s="14">
        <f t="shared" si="12"/>
        <v>615</v>
      </c>
      <c r="J70" s="14">
        <f t="shared" si="13"/>
        <v>3690</v>
      </c>
    </row>
    <row r="71" spans="1:10" x14ac:dyDescent="0.3">
      <c r="A71" s="30" t="s">
        <v>225</v>
      </c>
      <c r="B71" s="290" t="s">
        <v>227</v>
      </c>
      <c r="C71" s="315">
        <v>0</v>
      </c>
      <c r="D71" s="316">
        <v>0</v>
      </c>
      <c r="E71" s="316">
        <v>0</v>
      </c>
      <c r="F71" s="316">
        <v>0</v>
      </c>
      <c r="G71" s="316">
        <v>0</v>
      </c>
      <c r="H71" s="317">
        <v>0</v>
      </c>
      <c r="I71" s="14">
        <f t="shared" si="12"/>
        <v>0</v>
      </c>
      <c r="J71" s="14">
        <f t="shared" si="13"/>
        <v>0</v>
      </c>
    </row>
    <row r="72" spans="1:10" s="528" customFormat="1" x14ac:dyDescent="0.3">
      <c r="A72" s="526" t="s">
        <v>503</v>
      </c>
      <c r="B72" s="290" t="s">
        <v>226</v>
      </c>
      <c r="C72" s="524">
        <v>2250</v>
      </c>
      <c r="D72" s="514">
        <v>2550</v>
      </c>
      <c r="E72" s="514">
        <v>2700</v>
      </c>
      <c r="F72" s="514">
        <v>3000</v>
      </c>
      <c r="G72" s="514">
        <v>4050</v>
      </c>
      <c r="H72" s="515">
        <v>4350</v>
      </c>
      <c r="I72" s="527">
        <f t="shared" si="12"/>
        <v>3150</v>
      </c>
      <c r="J72" s="527">
        <f t="shared" si="13"/>
        <v>18900</v>
      </c>
    </row>
    <row r="73" spans="1:10" s="528" customFormat="1" x14ac:dyDescent="0.3">
      <c r="A73" s="526" t="s">
        <v>504</v>
      </c>
      <c r="B73" s="290" t="s">
        <v>226</v>
      </c>
      <c r="C73" s="524">
        <v>1543.5</v>
      </c>
      <c r="D73" s="514">
        <v>1764</v>
      </c>
      <c r="E73" s="514">
        <v>1984.5</v>
      </c>
      <c r="F73" s="514">
        <v>2205</v>
      </c>
      <c r="G73" s="514">
        <v>2866.5</v>
      </c>
      <c r="H73" s="515">
        <v>3087</v>
      </c>
      <c r="I73" s="527">
        <f t="shared" si="12"/>
        <v>2241.75</v>
      </c>
      <c r="J73" s="527">
        <f t="shared" si="13"/>
        <v>13450.5</v>
      </c>
    </row>
    <row r="74" spans="1:10" s="528" customFormat="1" x14ac:dyDescent="0.3">
      <c r="A74" s="532" t="s">
        <v>505</v>
      </c>
      <c r="B74" s="533"/>
      <c r="C74" s="534">
        <f>SUM(C75:C82)</f>
        <v>680</v>
      </c>
      <c r="D74" s="535">
        <f>SUM(D75:D82)</f>
        <v>680</v>
      </c>
      <c r="E74" s="535">
        <f t="shared" ref="E74:H74" si="20">SUM(E75:E82)</f>
        <v>680</v>
      </c>
      <c r="F74" s="535">
        <f t="shared" si="20"/>
        <v>740</v>
      </c>
      <c r="G74" s="535">
        <f t="shared" si="20"/>
        <v>1411</v>
      </c>
      <c r="H74" s="536">
        <f t="shared" si="20"/>
        <v>1471</v>
      </c>
      <c r="I74" s="537">
        <f t="shared" si="12"/>
        <v>943.66666666666663</v>
      </c>
      <c r="J74" s="537">
        <f t="shared" si="13"/>
        <v>5662</v>
      </c>
    </row>
    <row r="75" spans="1:10" s="528" customFormat="1" x14ac:dyDescent="0.3">
      <c r="A75" s="526" t="s">
        <v>224</v>
      </c>
      <c r="B75" s="290" t="s">
        <v>226</v>
      </c>
      <c r="C75" s="524">
        <v>140</v>
      </c>
      <c r="D75" s="514">
        <v>140</v>
      </c>
      <c r="E75" s="514">
        <v>140</v>
      </c>
      <c r="F75" s="514">
        <v>140</v>
      </c>
      <c r="G75" s="514">
        <v>280</v>
      </c>
      <c r="H75" s="515">
        <v>280</v>
      </c>
      <c r="I75" s="527">
        <f t="shared" si="12"/>
        <v>186.66666666666666</v>
      </c>
      <c r="J75" s="527">
        <f t="shared" si="13"/>
        <v>1120</v>
      </c>
    </row>
    <row r="76" spans="1:10" s="528" customFormat="1" x14ac:dyDescent="0.3">
      <c r="A76" s="526" t="s">
        <v>225</v>
      </c>
      <c r="B76" s="290" t="s">
        <v>226</v>
      </c>
      <c r="C76" s="524">
        <v>0</v>
      </c>
      <c r="D76" s="514">
        <v>0</v>
      </c>
      <c r="E76" s="514">
        <v>0</v>
      </c>
      <c r="F76" s="514">
        <v>0</v>
      </c>
      <c r="G76" s="514">
        <v>0</v>
      </c>
      <c r="H76" s="515">
        <v>0</v>
      </c>
      <c r="I76" s="527">
        <f t="shared" si="12"/>
        <v>0</v>
      </c>
      <c r="J76" s="527">
        <f t="shared" si="13"/>
        <v>0</v>
      </c>
    </row>
    <row r="77" spans="1:10" s="528" customFormat="1" x14ac:dyDescent="0.3">
      <c r="A77" s="526" t="s">
        <v>503</v>
      </c>
      <c r="B77" s="290" t="s">
        <v>226</v>
      </c>
      <c r="C77" s="524">
        <v>0</v>
      </c>
      <c r="D77" s="514">
        <v>0</v>
      </c>
      <c r="E77" s="514">
        <v>0</v>
      </c>
      <c r="F77" s="514">
        <v>0</v>
      </c>
      <c r="G77" s="514">
        <v>351</v>
      </c>
      <c r="H77" s="515">
        <v>351</v>
      </c>
      <c r="I77" s="527">
        <f t="shared" si="12"/>
        <v>117</v>
      </c>
      <c r="J77" s="527">
        <f t="shared" si="13"/>
        <v>702</v>
      </c>
    </row>
    <row r="78" spans="1:10" s="528" customFormat="1" x14ac:dyDescent="0.3">
      <c r="A78" s="526" t="s">
        <v>504</v>
      </c>
      <c r="B78" s="290" t="s">
        <v>226</v>
      </c>
      <c r="C78" s="524">
        <v>0</v>
      </c>
      <c r="D78" s="514">
        <v>0</v>
      </c>
      <c r="E78" s="514">
        <v>0</v>
      </c>
      <c r="F78" s="514">
        <v>0</v>
      </c>
      <c r="G78" s="514">
        <v>0</v>
      </c>
      <c r="H78" s="515">
        <v>0</v>
      </c>
      <c r="I78" s="527">
        <f t="shared" si="12"/>
        <v>0</v>
      </c>
      <c r="J78" s="527">
        <f t="shared" si="13"/>
        <v>0</v>
      </c>
    </row>
    <row r="79" spans="1:10" s="528" customFormat="1" x14ac:dyDescent="0.3">
      <c r="A79" s="526" t="s">
        <v>224</v>
      </c>
      <c r="B79" s="290" t="s">
        <v>227</v>
      </c>
      <c r="C79" s="524">
        <v>240</v>
      </c>
      <c r="D79" s="514">
        <v>240</v>
      </c>
      <c r="E79" s="514">
        <v>240</v>
      </c>
      <c r="F79" s="514">
        <v>300</v>
      </c>
      <c r="G79" s="514">
        <v>480</v>
      </c>
      <c r="H79" s="515">
        <v>540</v>
      </c>
      <c r="I79" s="527">
        <f t="shared" si="12"/>
        <v>340</v>
      </c>
      <c r="J79" s="527">
        <f t="shared" si="13"/>
        <v>2040</v>
      </c>
    </row>
    <row r="80" spans="1:10" s="528" customFormat="1" x14ac:dyDescent="0.3">
      <c r="A80" s="526" t="s">
        <v>225</v>
      </c>
      <c r="B80" s="290" t="s">
        <v>227</v>
      </c>
      <c r="C80" s="524">
        <v>0</v>
      </c>
      <c r="D80" s="514">
        <v>0</v>
      </c>
      <c r="E80" s="514">
        <v>0</v>
      </c>
      <c r="F80" s="514">
        <v>0</v>
      </c>
      <c r="G80" s="514">
        <v>0</v>
      </c>
      <c r="H80" s="515">
        <v>0</v>
      </c>
      <c r="I80" s="527">
        <f t="shared" si="12"/>
        <v>0</v>
      </c>
      <c r="J80" s="527">
        <f t="shared" si="13"/>
        <v>0</v>
      </c>
    </row>
    <row r="81" spans="1:10" s="528" customFormat="1" x14ac:dyDescent="0.3">
      <c r="A81" s="526" t="s">
        <v>503</v>
      </c>
      <c r="B81" s="290" t="s">
        <v>226</v>
      </c>
      <c r="C81" s="524">
        <v>300</v>
      </c>
      <c r="D81" s="514">
        <v>300</v>
      </c>
      <c r="E81" s="514">
        <v>300</v>
      </c>
      <c r="F81" s="514">
        <v>300</v>
      </c>
      <c r="G81" s="514">
        <v>300</v>
      </c>
      <c r="H81" s="515">
        <v>300</v>
      </c>
      <c r="I81" s="527">
        <f t="shared" si="12"/>
        <v>300</v>
      </c>
      <c r="J81" s="527">
        <f t="shared" si="13"/>
        <v>1800</v>
      </c>
    </row>
    <row r="82" spans="1:10" s="528" customFormat="1" x14ac:dyDescent="0.3">
      <c r="A82" s="526" t="s">
        <v>504</v>
      </c>
      <c r="B82" s="290" t="s">
        <v>226</v>
      </c>
      <c r="C82" s="524">
        <v>0</v>
      </c>
      <c r="D82" s="514">
        <v>0</v>
      </c>
      <c r="E82" s="514">
        <v>0</v>
      </c>
      <c r="F82" s="514">
        <v>0</v>
      </c>
      <c r="G82" s="514">
        <v>0</v>
      </c>
      <c r="H82" s="515">
        <v>0</v>
      </c>
      <c r="I82" s="527">
        <f t="shared" si="12"/>
        <v>0</v>
      </c>
      <c r="J82" s="527">
        <f t="shared" si="13"/>
        <v>0</v>
      </c>
    </row>
    <row r="83" spans="1:10" s="528" customFormat="1" x14ac:dyDescent="0.3">
      <c r="A83" s="532" t="s">
        <v>506</v>
      </c>
      <c r="B83" s="533"/>
      <c r="C83" s="534">
        <f>SUM(C84:C91)</f>
        <v>197.5</v>
      </c>
      <c r="D83" s="535">
        <f>SUM(D84:D91)</f>
        <v>205</v>
      </c>
      <c r="E83" s="535">
        <f t="shared" ref="E83:H83" si="21">SUM(E84:E91)</f>
        <v>519.5</v>
      </c>
      <c r="F83" s="535">
        <f t="shared" si="21"/>
        <v>519.5</v>
      </c>
      <c r="G83" s="535">
        <f t="shared" si="21"/>
        <v>581</v>
      </c>
      <c r="H83" s="536">
        <f t="shared" si="21"/>
        <v>618.5</v>
      </c>
      <c r="I83" s="537">
        <f t="shared" si="12"/>
        <v>440.16666666666669</v>
      </c>
      <c r="J83" s="537">
        <f t="shared" si="13"/>
        <v>2641</v>
      </c>
    </row>
    <row r="84" spans="1:10" s="528" customFormat="1" x14ac:dyDescent="0.3">
      <c r="A84" s="526" t="s">
        <v>224</v>
      </c>
      <c r="B84" s="290" t="s">
        <v>226</v>
      </c>
      <c r="C84" s="524">
        <v>10</v>
      </c>
      <c r="D84" s="514">
        <v>10</v>
      </c>
      <c r="E84" s="514">
        <v>20</v>
      </c>
      <c r="F84" s="514">
        <v>20</v>
      </c>
      <c r="G84" s="514">
        <v>20</v>
      </c>
      <c r="H84" s="515">
        <v>20</v>
      </c>
      <c r="I84" s="527">
        <f t="shared" si="12"/>
        <v>16.666666666666668</v>
      </c>
      <c r="J84" s="527">
        <f t="shared" si="13"/>
        <v>100</v>
      </c>
    </row>
    <row r="85" spans="1:10" s="528" customFormat="1" x14ac:dyDescent="0.3">
      <c r="A85" s="526" t="s">
        <v>225</v>
      </c>
      <c r="B85" s="290" t="s">
        <v>226</v>
      </c>
      <c r="C85" s="524">
        <v>0</v>
      </c>
      <c r="D85" s="514">
        <v>0</v>
      </c>
      <c r="E85" s="514">
        <v>0</v>
      </c>
      <c r="F85" s="514">
        <v>0</v>
      </c>
      <c r="G85" s="514">
        <v>0</v>
      </c>
      <c r="H85" s="515">
        <v>0</v>
      </c>
      <c r="I85" s="527">
        <f t="shared" si="12"/>
        <v>0</v>
      </c>
      <c r="J85" s="527">
        <f t="shared" si="13"/>
        <v>0</v>
      </c>
    </row>
    <row r="86" spans="1:10" s="528" customFormat="1" x14ac:dyDescent="0.3">
      <c r="A86" s="526" t="s">
        <v>503</v>
      </c>
      <c r="B86" s="290" t="s">
        <v>226</v>
      </c>
      <c r="C86" s="524">
        <v>51</v>
      </c>
      <c r="D86" s="514">
        <v>51</v>
      </c>
      <c r="E86" s="514">
        <v>102</v>
      </c>
      <c r="F86" s="514">
        <v>102</v>
      </c>
      <c r="G86" s="514">
        <v>102</v>
      </c>
      <c r="H86" s="515">
        <v>102</v>
      </c>
      <c r="I86" s="527">
        <f t="shared" si="12"/>
        <v>85</v>
      </c>
      <c r="J86" s="527">
        <f t="shared" si="13"/>
        <v>510</v>
      </c>
    </row>
    <row r="87" spans="1:10" s="528" customFormat="1" x14ac:dyDescent="0.3">
      <c r="A87" s="526" t="s">
        <v>504</v>
      </c>
      <c r="B87" s="290" t="s">
        <v>226</v>
      </c>
      <c r="C87" s="524">
        <v>0</v>
      </c>
      <c r="D87" s="514">
        <v>0</v>
      </c>
      <c r="E87" s="514">
        <v>72</v>
      </c>
      <c r="F87" s="514">
        <v>72</v>
      </c>
      <c r="G87" s="514">
        <v>72</v>
      </c>
      <c r="H87" s="515">
        <v>72</v>
      </c>
      <c r="I87" s="527">
        <f t="shared" si="12"/>
        <v>48</v>
      </c>
      <c r="J87" s="527">
        <f t="shared" si="13"/>
        <v>288</v>
      </c>
    </row>
    <row r="88" spans="1:10" s="528" customFormat="1" x14ac:dyDescent="0.3">
      <c r="A88" s="526" t="s">
        <v>224</v>
      </c>
      <c r="B88" s="290" t="s">
        <v>227</v>
      </c>
      <c r="C88" s="524">
        <v>7.5</v>
      </c>
      <c r="D88" s="514">
        <v>15</v>
      </c>
      <c r="E88" s="514">
        <v>30</v>
      </c>
      <c r="F88" s="514">
        <v>30</v>
      </c>
      <c r="G88" s="514">
        <v>37.5</v>
      </c>
      <c r="H88" s="515">
        <v>37.5</v>
      </c>
      <c r="I88" s="527">
        <f t="shared" si="12"/>
        <v>26.25</v>
      </c>
      <c r="J88" s="527">
        <f t="shared" si="13"/>
        <v>157.5</v>
      </c>
    </row>
    <row r="89" spans="1:10" s="528" customFormat="1" x14ac:dyDescent="0.3">
      <c r="A89" s="526" t="s">
        <v>225</v>
      </c>
      <c r="B89" s="290" t="s">
        <v>227</v>
      </c>
      <c r="C89" s="524">
        <v>0</v>
      </c>
      <c r="D89" s="514">
        <v>0</v>
      </c>
      <c r="E89" s="514">
        <v>0</v>
      </c>
      <c r="F89" s="514">
        <v>0</v>
      </c>
      <c r="G89" s="514">
        <v>0</v>
      </c>
      <c r="H89" s="515">
        <v>0</v>
      </c>
      <c r="I89" s="527">
        <f t="shared" si="12"/>
        <v>0</v>
      </c>
      <c r="J89" s="527">
        <f t="shared" si="13"/>
        <v>0</v>
      </c>
    </row>
    <row r="90" spans="1:10" s="528" customFormat="1" x14ac:dyDescent="0.3">
      <c r="A90" s="526" t="s">
        <v>503</v>
      </c>
      <c r="B90" s="290" t="s">
        <v>226</v>
      </c>
      <c r="C90" s="524">
        <v>75</v>
      </c>
      <c r="D90" s="514">
        <v>75</v>
      </c>
      <c r="E90" s="514">
        <v>187.5</v>
      </c>
      <c r="F90" s="514">
        <v>187.5</v>
      </c>
      <c r="G90" s="514">
        <v>187.5</v>
      </c>
      <c r="H90" s="515">
        <v>225</v>
      </c>
      <c r="I90" s="527">
        <f t="shared" si="12"/>
        <v>156.25</v>
      </c>
      <c r="J90" s="527">
        <f t="shared" si="13"/>
        <v>937.5</v>
      </c>
    </row>
    <row r="91" spans="1:10" s="528" customFormat="1" x14ac:dyDescent="0.3">
      <c r="A91" s="526" t="s">
        <v>504</v>
      </c>
      <c r="B91" s="290" t="s">
        <v>226</v>
      </c>
      <c r="C91" s="524">
        <v>54</v>
      </c>
      <c r="D91" s="514">
        <v>54</v>
      </c>
      <c r="E91" s="514">
        <v>108</v>
      </c>
      <c r="F91" s="514">
        <v>108</v>
      </c>
      <c r="G91" s="514">
        <v>162</v>
      </c>
      <c r="H91" s="515">
        <v>162</v>
      </c>
      <c r="I91" s="527">
        <f t="shared" si="12"/>
        <v>108</v>
      </c>
      <c r="J91" s="527">
        <f t="shared" si="13"/>
        <v>648</v>
      </c>
    </row>
    <row r="92" spans="1:10" s="528" customFormat="1" x14ac:dyDescent="0.3">
      <c r="A92" s="532" t="s">
        <v>507</v>
      </c>
      <c r="B92" s="533"/>
      <c r="C92" s="534">
        <f>SUM(C93:C94)</f>
        <v>82.5</v>
      </c>
      <c r="D92" s="535">
        <f t="shared" ref="D92:H92" si="22">SUM(D93:D94)</f>
        <v>90</v>
      </c>
      <c r="E92" s="535">
        <f t="shared" si="22"/>
        <v>97.5</v>
      </c>
      <c r="F92" s="535">
        <f t="shared" si="22"/>
        <v>105</v>
      </c>
      <c r="G92" s="535">
        <f t="shared" si="22"/>
        <v>112.5</v>
      </c>
      <c r="H92" s="536">
        <f t="shared" si="22"/>
        <v>120</v>
      </c>
      <c r="I92" s="537">
        <f>IFERROR(AVERAGE(C92:H92),0)</f>
        <v>101.25</v>
      </c>
      <c r="J92" s="537">
        <f>SUM(C92:H92)</f>
        <v>607.5</v>
      </c>
    </row>
    <row r="93" spans="1:10" x14ac:dyDescent="0.3">
      <c r="A93" s="30" t="s">
        <v>228</v>
      </c>
      <c r="B93" s="290" t="s">
        <v>226</v>
      </c>
      <c r="C93" s="315">
        <v>66</v>
      </c>
      <c r="D93" s="316">
        <v>72</v>
      </c>
      <c r="E93" s="316">
        <v>78</v>
      </c>
      <c r="F93" s="316">
        <v>84</v>
      </c>
      <c r="G93" s="316">
        <v>90</v>
      </c>
      <c r="H93" s="317">
        <v>96</v>
      </c>
      <c r="I93" s="14">
        <f t="shared" si="12"/>
        <v>81</v>
      </c>
      <c r="J93" s="205">
        <f t="shared" si="13"/>
        <v>486</v>
      </c>
    </row>
    <row r="94" spans="1:10" x14ac:dyDescent="0.3">
      <c r="A94" s="526" t="s">
        <v>508</v>
      </c>
      <c r="B94" s="290" t="s">
        <v>226</v>
      </c>
      <c r="C94" s="524">
        <v>16.5</v>
      </c>
      <c r="D94" s="514">
        <v>18</v>
      </c>
      <c r="E94" s="514">
        <v>19.5</v>
      </c>
      <c r="F94" s="514">
        <v>21</v>
      </c>
      <c r="G94" s="514">
        <v>22.5</v>
      </c>
      <c r="H94" s="515">
        <v>24</v>
      </c>
      <c r="I94" s="527">
        <f t="shared" si="12"/>
        <v>20.25</v>
      </c>
      <c r="J94" s="527">
        <f t="shared" ref="J94" si="23">SUM(C94:H94)</f>
        <v>121.5</v>
      </c>
    </row>
    <row r="95" spans="1:10" x14ac:dyDescent="0.3">
      <c r="A95" s="115" t="s">
        <v>433</v>
      </c>
      <c r="B95" s="53"/>
      <c r="C95" s="318"/>
      <c r="D95" s="319"/>
      <c r="E95" s="319"/>
      <c r="F95" s="319"/>
      <c r="G95" s="319"/>
      <c r="H95" s="320"/>
      <c r="I95" s="224">
        <f t="shared" ref="I95" si="24">IFERROR(AVERAGE(C95:H95),0)</f>
        <v>0</v>
      </c>
      <c r="J95" s="224">
        <f t="shared" ref="J95" si="25">SUM(C95:H95)</f>
        <v>0</v>
      </c>
    </row>
    <row r="96" spans="1:10" x14ac:dyDescent="0.3">
      <c r="A96" s="96" t="s">
        <v>339</v>
      </c>
      <c r="B96" s="314"/>
      <c r="C96" s="60">
        <f t="shared" ref="C96:H96" si="26">C22+C40+C41+C42+C43+C95</f>
        <v>5265297.113835779</v>
      </c>
      <c r="D96" s="19">
        <f t="shared" si="26"/>
        <v>5536360.3445616579</v>
      </c>
      <c r="E96" s="19">
        <f t="shared" si="26"/>
        <v>5662784.2022868032</v>
      </c>
      <c r="F96" s="19">
        <f t="shared" si="26"/>
        <v>5767757.874517139</v>
      </c>
      <c r="G96" s="19">
        <f t="shared" si="26"/>
        <v>5844708.9831945701</v>
      </c>
      <c r="H96" s="35">
        <f t="shared" si="26"/>
        <v>5910238.2433930635</v>
      </c>
      <c r="I96" s="20">
        <f>IFERROR(AVERAGE(C96:H96),0)</f>
        <v>5664524.4602981685</v>
      </c>
      <c r="J96" s="20">
        <f>SUM(C96:H96)</f>
        <v>33987146.761789009</v>
      </c>
    </row>
    <row r="97" spans="1:10" x14ac:dyDescent="0.3">
      <c r="B97" s="28"/>
      <c r="C97" s="13"/>
      <c r="D97" s="13"/>
      <c r="E97" s="13"/>
      <c r="F97" s="13"/>
      <c r="G97" s="13"/>
      <c r="H97" s="13"/>
      <c r="I97" s="13"/>
      <c r="J97" s="13"/>
    </row>
    <row r="98" spans="1:10" ht="26" x14ac:dyDescent="0.3">
      <c r="A98" s="668" t="s">
        <v>340</v>
      </c>
      <c r="B98" s="678" t="s">
        <v>335</v>
      </c>
      <c r="C98" s="305">
        <f>Annee</f>
        <v>2024</v>
      </c>
      <c r="D98" s="291">
        <f>C98+1</f>
        <v>2025</v>
      </c>
      <c r="E98" s="291">
        <f t="shared" ref="E98:G98" si="27">D98+1</f>
        <v>2026</v>
      </c>
      <c r="F98" s="291">
        <f t="shared" si="27"/>
        <v>2027</v>
      </c>
      <c r="G98" s="291">
        <f t="shared" si="27"/>
        <v>2028</v>
      </c>
      <c r="H98" s="295">
        <f>G98+1</f>
        <v>2029</v>
      </c>
      <c r="I98" s="179" t="s">
        <v>271</v>
      </c>
      <c r="J98" s="4" t="s">
        <v>62</v>
      </c>
    </row>
    <row r="99" spans="1:10" x14ac:dyDescent="0.3">
      <c r="A99" s="669"/>
      <c r="B99" s="679"/>
      <c r="C99" s="306">
        <v>12</v>
      </c>
      <c r="D99" s="77">
        <v>12</v>
      </c>
      <c r="E99" s="77">
        <v>12</v>
      </c>
      <c r="F99" s="77">
        <v>12</v>
      </c>
      <c r="G99" s="77">
        <v>12</v>
      </c>
      <c r="H99" s="77">
        <v>12</v>
      </c>
      <c r="I99" s="78">
        <f>IFERROR(AVERAGE(C99:H99),0)</f>
        <v>12</v>
      </c>
      <c r="J99" s="78">
        <f>SUM(C99:H99)</f>
        <v>72</v>
      </c>
    </row>
    <row r="100" spans="1:10" x14ac:dyDescent="0.3">
      <c r="A100" s="36" t="s">
        <v>64</v>
      </c>
      <c r="B100" s="307"/>
      <c r="C100" s="315">
        <v>95000</v>
      </c>
      <c r="D100" s="316">
        <v>95000</v>
      </c>
      <c r="E100" s="316">
        <v>95000</v>
      </c>
      <c r="F100" s="316">
        <v>95000</v>
      </c>
      <c r="G100" s="316">
        <v>95000</v>
      </c>
      <c r="H100" s="317">
        <v>95000</v>
      </c>
      <c r="I100" s="10">
        <f t="shared" si="12"/>
        <v>95000</v>
      </c>
      <c r="J100" s="10">
        <f t="shared" ref="J100:J110" si="28">SUM(C100:H100)</f>
        <v>570000</v>
      </c>
    </row>
    <row r="101" spans="1:10" x14ac:dyDescent="0.3">
      <c r="A101" s="96" t="s">
        <v>341</v>
      </c>
      <c r="B101" s="118"/>
      <c r="C101" s="60">
        <f>C100</f>
        <v>95000</v>
      </c>
      <c r="D101" s="19">
        <f t="shared" ref="D101:H101" si="29">D100</f>
        <v>95000</v>
      </c>
      <c r="E101" s="19">
        <f t="shared" si="29"/>
        <v>95000</v>
      </c>
      <c r="F101" s="19">
        <f t="shared" si="29"/>
        <v>95000</v>
      </c>
      <c r="G101" s="19">
        <f t="shared" si="29"/>
        <v>95000</v>
      </c>
      <c r="H101" s="35">
        <f t="shared" si="29"/>
        <v>95000</v>
      </c>
      <c r="I101" s="20">
        <f t="shared" ref="I101" si="30">IFERROR(AVERAGE(C101:H101),0)</f>
        <v>95000</v>
      </c>
      <c r="J101" s="20">
        <f t="shared" ref="J101" si="31">SUM(C101:H101)</f>
        <v>570000</v>
      </c>
    </row>
    <row r="102" spans="1:10" x14ac:dyDescent="0.3">
      <c r="B102" s="28"/>
      <c r="C102" s="13"/>
      <c r="D102" s="13"/>
      <c r="E102" s="13"/>
      <c r="F102" s="13"/>
      <c r="G102" s="13"/>
      <c r="H102" s="13"/>
      <c r="I102" s="13"/>
      <c r="J102" s="13"/>
    </row>
    <row r="103" spans="1:10" ht="26" x14ac:dyDescent="0.3">
      <c r="A103" s="668" t="s">
        <v>343</v>
      </c>
      <c r="B103" s="678" t="s">
        <v>335</v>
      </c>
      <c r="C103" s="305">
        <f>Annee</f>
        <v>2024</v>
      </c>
      <c r="D103" s="291">
        <f>C103+1</f>
        <v>2025</v>
      </c>
      <c r="E103" s="291">
        <f t="shared" ref="E103:G103" si="32">D103+1</f>
        <v>2026</v>
      </c>
      <c r="F103" s="291">
        <f t="shared" si="32"/>
        <v>2027</v>
      </c>
      <c r="G103" s="291">
        <f t="shared" si="32"/>
        <v>2028</v>
      </c>
      <c r="H103" s="295">
        <f>G103+1</f>
        <v>2029</v>
      </c>
      <c r="I103" s="179" t="s">
        <v>271</v>
      </c>
      <c r="J103" s="4" t="s">
        <v>62</v>
      </c>
    </row>
    <row r="104" spans="1:10" x14ac:dyDescent="0.3">
      <c r="A104" s="669"/>
      <c r="B104" s="679"/>
      <c r="C104" s="306">
        <v>12</v>
      </c>
      <c r="D104" s="77">
        <v>12</v>
      </c>
      <c r="E104" s="77">
        <v>12</v>
      </c>
      <c r="F104" s="77">
        <v>12</v>
      </c>
      <c r="G104" s="77">
        <v>12</v>
      </c>
      <c r="H104" s="77">
        <v>12</v>
      </c>
      <c r="I104" s="78">
        <f>IFERROR(AVERAGE(C104:H104),0)</f>
        <v>12</v>
      </c>
      <c r="J104" s="78">
        <f>SUM(C104:H104)</f>
        <v>72</v>
      </c>
    </row>
    <row r="105" spans="1:10" x14ac:dyDescent="0.3">
      <c r="A105" s="36" t="s">
        <v>9</v>
      </c>
      <c r="B105" s="307"/>
      <c r="C105" s="315">
        <v>100000</v>
      </c>
      <c r="D105" s="316">
        <v>99200</v>
      </c>
      <c r="E105" s="316">
        <v>98800</v>
      </c>
      <c r="F105" s="316">
        <v>98500</v>
      </c>
      <c r="G105" s="316">
        <v>98200</v>
      </c>
      <c r="H105" s="317">
        <v>98000</v>
      </c>
      <c r="I105" s="14">
        <f t="shared" si="12"/>
        <v>98783.333333333328</v>
      </c>
      <c r="J105" s="205">
        <f t="shared" si="28"/>
        <v>592700</v>
      </c>
    </row>
    <row r="106" spans="1:10" x14ac:dyDescent="0.3">
      <c r="A106" s="36" t="s">
        <v>10</v>
      </c>
      <c r="B106" s="307"/>
      <c r="C106" s="315">
        <v>0</v>
      </c>
      <c r="D106" s="316">
        <v>0</v>
      </c>
      <c r="E106" s="316">
        <v>0</v>
      </c>
      <c r="F106" s="316">
        <v>0</v>
      </c>
      <c r="G106" s="316">
        <v>0</v>
      </c>
      <c r="H106" s="317">
        <v>0</v>
      </c>
      <c r="I106" s="14">
        <f t="shared" si="12"/>
        <v>0</v>
      </c>
      <c r="J106" s="205">
        <f t="shared" si="28"/>
        <v>0</v>
      </c>
    </row>
    <row r="107" spans="1:10" x14ac:dyDescent="0.3">
      <c r="A107" s="36" t="s">
        <v>232</v>
      </c>
      <c r="B107" s="307"/>
      <c r="C107" s="315">
        <v>96000.8</v>
      </c>
      <c r="D107" s="316">
        <v>98568.400000000009</v>
      </c>
      <c r="E107" s="316">
        <v>100567.6</v>
      </c>
      <c r="F107" s="316">
        <v>101194.8</v>
      </c>
      <c r="G107" s="316">
        <v>101292.8</v>
      </c>
      <c r="H107" s="317">
        <v>101332.00000000001</v>
      </c>
      <c r="I107" s="14">
        <f t="shared" si="12"/>
        <v>99826.066666666666</v>
      </c>
      <c r="J107" s="205">
        <f t="shared" si="28"/>
        <v>598956.4</v>
      </c>
    </row>
    <row r="108" spans="1:10" x14ac:dyDescent="0.3">
      <c r="A108" s="36" t="s">
        <v>63</v>
      </c>
      <c r="B108" s="307"/>
      <c r="C108" s="315">
        <v>60000</v>
      </c>
      <c r="D108" s="316">
        <v>60800</v>
      </c>
      <c r="E108" s="316">
        <v>61200</v>
      </c>
      <c r="F108" s="316">
        <v>61500</v>
      </c>
      <c r="G108" s="316">
        <v>61800</v>
      </c>
      <c r="H108" s="317">
        <v>62000</v>
      </c>
      <c r="I108" s="14">
        <f t="shared" si="12"/>
        <v>61216.666666666664</v>
      </c>
      <c r="J108" s="205">
        <f t="shared" si="28"/>
        <v>367300</v>
      </c>
    </row>
    <row r="109" spans="1:10" x14ac:dyDescent="0.3">
      <c r="A109" s="36" t="s">
        <v>65</v>
      </c>
      <c r="B109" s="307"/>
      <c r="C109" s="315">
        <v>-30000</v>
      </c>
      <c r="D109" s="321">
        <v>-30000</v>
      </c>
      <c r="E109" s="321">
        <v>-30000</v>
      </c>
      <c r="F109" s="321">
        <v>-25000</v>
      </c>
      <c r="G109" s="321">
        <v>-25000</v>
      </c>
      <c r="H109" s="317">
        <v>-25000</v>
      </c>
      <c r="I109" s="14">
        <f t="shared" si="12"/>
        <v>-27500</v>
      </c>
      <c r="J109" s="205">
        <f t="shared" si="28"/>
        <v>-165000</v>
      </c>
    </row>
    <row r="110" spans="1:10" x14ac:dyDescent="0.3">
      <c r="A110" s="96" t="s">
        <v>342</v>
      </c>
      <c r="B110" s="118"/>
      <c r="C110" s="60">
        <f>SUM(C105:C109)</f>
        <v>226000.8</v>
      </c>
      <c r="D110" s="19">
        <f t="shared" ref="D110:H110" si="33">SUM(D105:D109)</f>
        <v>228568.40000000002</v>
      </c>
      <c r="E110" s="19">
        <f t="shared" si="33"/>
        <v>230567.6</v>
      </c>
      <c r="F110" s="19">
        <f t="shared" si="33"/>
        <v>236194.8</v>
      </c>
      <c r="G110" s="19">
        <f t="shared" si="33"/>
        <v>236292.8</v>
      </c>
      <c r="H110" s="35">
        <f t="shared" si="33"/>
        <v>236332</v>
      </c>
      <c r="I110" s="20">
        <f t="shared" si="12"/>
        <v>232326.06666666668</v>
      </c>
      <c r="J110" s="20">
        <f t="shared" si="28"/>
        <v>1393956.4000000001</v>
      </c>
    </row>
    <row r="111" spans="1:10" x14ac:dyDescent="0.3">
      <c r="B111" s="28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3">
      <c r="C112" s="137"/>
      <c r="I112" s="137"/>
    </row>
    <row r="113" spans="3:8" x14ac:dyDescent="0.3">
      <c r="C113" s="137"/>
      <c r="D113" s="137"/>
      <c r="E113" s="137"/>
      <c r="F113" s="137"/>
      <c r="G113" s="137"/>
      <c r="H113" s="137"/>
    </row>
  </sheetData>
  <mergeCells count="9">
    <mergeCell ref="A103:A104"/>
    <mergeCell ref="B103:B104"/>
    <mergeCell ref="A20:A21"/>
    <mergeCell ref="B20:B21"/>
    <mergeCell ref="A1:J1"/>
    <mergeCell ref="A98:A99"/>
    <mergeCell ref="B98:B99"/>
    <mergeCell ref="A5:A6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2" orientation="landscape" r:id="rId1"/>
  <headerFooter>
    <oddHeader>&amp;L&amp;F&amp;R&amp;A</oddHeader>
    <oddFooter>&amp;L&amp;D&amp;C&amp;P/&amp;N&amp;R&amp;T</oddFooter>
  </headerFooter>
  <ignoredErrors>
    <ignoredError sqref="C22:G22 H22 C110:H11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P32"/>
  <sheetViews>
    <sheetView showGridLines="0" zoomScale="85" zoomScaleNormal="85" workbookViewId="0">
      <selection sqref="A1:N1"/>
    </sheetView>
  </sheetViews>
  <sheetFormatPr baseColWidth="10" defaultColWidth="11.26953125" defaultRowHeight="13" x14ac:dyDescent="0.3"/>
  <cols>
    <col min="1" max="1" width="34.7265625" style="2" customWidth="1"/>
    <col min="2" max="2" width="11" style="17" customWidth="1"/>
    <col min="3" max="9" width="11" style="28" customWidth="1"/>
    <col min="10" max="10" width="6.7265625" style="28" customWidth="1"/>
    <col min="11" max="14" width="11" style="28" customWidth="1"/>
    <col min="15" max="15" width="11.26953125" style="2"/>
    <col min="16" max="16" width="27.453125" style="2" bestFit="1" customWidth="1"/>
    <col min="17" max="16384" width="11.26953125" style="2"/>
  </cols>
  <sheetData>
    <row r="1" spans="1:16" ht="25.4" customHeight="1" x14ac:dyDescent="0.3">
      <c r="A1" s="680" t="s">
        <v>183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90"/>
      <c r="O1" s="1"/>
    </row>
    <row r="3" spans="1:16" customFormat="1" ht="14.5" x14ac:dyDescent="0.35"/>
    <row r="4" spans="1:16" ht="13.15" customHeight="1" x14ac:dyDescent="0.35">
      <c r="A4" s="693" t="s">
        <v>201</v>
      </c>
      <c r="B4" s="678" t="s">
        <v>0</v>
      </c>
      <c r="C4" s="3">
        <v>2017</v>
      </c>
      <c r="D4" s="3">
        <v>2018</v>
      </c>
      <c r="E4" s="3">
        <v>2019</v>
      </c>
      <c r="F4" s="3">
        <v>2020</v>
      </c>
      <c r="G4" s="3">
        <v>2021</v>
      </c>
      <c r="H4" s="3">
        <v>2022</v>
      </c>
      <c r="I4" s="120">
        <v>2023</v>
      </c>
      <c r="J4"/>
      <c r="K4" s="179" t="s">
        <v>295</v>
      </c>
      <c r="L4" s="179" t="s">
        <v>296</v>
      </c>
      <c r="M4" s="179" t="s">
        <v>271</v>
      </c>
      <c r="N4" s="4" t="s">
        <v>62</v>
      </c>
      <c r="P4" s="683" t="s">
        <v>305</v>
      </c>
    </row>
    <row r="5" spans="1:16" ht="25.15" customHeight="1" x14ac:dyDescent="0.35">
      <c r="A5" s="692"/>
      <c r="B5" s="679"/>
      <c r="C5" s="77">
        <v>12</v>
      </c>
      <c r="D5" s="77">
        <v>12</v>
      </c>
      <c r="E5" s="77">
        <v>12</v>
      </c>
      <c r="F5" s="77">
        <v>12</v>
      </c>
      <c r="G5" s="77">
        <v>12</v>
      </c>
      <c r="H5" s="77">
        <v>12</v>
      </c>
      <c r="I5" s="181">
        <v>12</v>
      </c>
      <c r="J5"/>
      <c r="K5" s="78">
        <v>12</v>
      </c>
      <c r="L5" s="78">
        <v>12</v>
      </c>
      <c r="M5" s="78">
        <v>12</v>
      </c>
      <c r="N5" s="78">
        <f>SUM(C5:I5)</f>
        <v>84</v>
      </c>
      <c r="P5" s="684"/>
    </row>
    <row r="6" spans="1:16" s="5" customFormat="1" ht="14.5" x14ac:dyDescent="0.35">
      <c r="A6" s="7" t="s">
        <v>66</v>
      </c>
      <c r="B6" s="8"/>
      <c r="C6" s="9"/>
      <c r="D6" s="9"/>
      <c r="E6" s="9">
        <v>1992.4285416666669</v>
      </c>
      <c r="F6" s="9">
        <v>6276.1499062499997</v>
      </c>
      <c r="G6" s="9">
        <v>6589.9574015624994</v>
      </c>
      <c r="H6" s="9">
        <v>6919.4552716406251</v>
      </c>
      <c r="I6" s="182">
        <v>7265.428035222656</v>
      </c>
      <c r="J6"/>
      <c r="K6" s="10" t="str">
        <f>IFERROR(AVERAGE(C6:D6),"")</f>
        <v/>
      </c>
      <c r="L6" s="10">
        <f t="shared" ref="L6" si="0">IFERROR(AVERAGE(E6:I6),"")</f>
        <v>5808.6838312684895</v>
      </c>
      <c r="M6" s="10">
        <f t="shared" ref="M6" si="1">IFERROR(AVERAGE(C6:I6),"")</f>
        <v>5808.6838312684895</v>
      </c>
      <c r="N6" s="10">
        <f>SUM(C6:I6)</f>
        <v>29043.419156342447</v>
      </c>
      <c r="P6" s="186"/>
    </row>
    <row r="7" spans="1:16" ht="14.5" x14ac:dyDescent="0.35">
      <c r="A7" s="109" t="s">
        <v>67</v>
      </c>
      <c r="B7" s="15"/>
      <c r="C7" s="106"/>
      <c r="D7" s="106"/>
      <c r="E7" s="106"/>
      <c r="F7" s="106"/>
      <c r="G7" s="106"/>
      <c r="H7" s="106"/>
      <c r="I7" s="183"/>
      <c r="J7"/>
      <c r="K7" s="200"/>
      <c r="L7" s="16"/>
      <c r="M7" s="201"/>
      <c r="N7" s="16">
        <f>SUM(C7:I7)</f>
        <v>0</v>
      </c>
      <c r="P7" s="187"/>
    </row>
    <row r="8" spans="1:16" ht="14.5" x14ac:dyDescent="0.35">
      <c r="A8" s="18" t="s">
        <v>207</v>
      </c>
      <c r="B8" s="68"/>
      <c r="C8" s="19">
        <f>C6+C7</f>
        <v>0</v>
      </c>
      <c r="D8" s="19">
        <f t="shared" ref="D8:N8" si="2">D6+D7</f>
        <v>0</v>
      </c>
      <c r="E8" s="19">
        <f t="shared" si="2"/>
        <v>1992.4285416666669</v>
      </c>
      <c r="F8" s="19">
        <f t="shared" si="2"/>
        <v>6276.1499062499997</v>
      </c>
      <c r="G8" s="19">
        <f t="shared" si="2"/>
        <v>6589.9574015624994</v>
      </c>
      <c r="H8" s="19">
        <f t="shared" si="2"/>
        <v>6919.4552716406251</v>
      </c>
      <c r="I8" s="35">
        <f t="shared" si="2"/>
        <v>7265.428035222656</v>
      </c>
      <c r="J8"/>
      <c r="K8" s="60" t="e">
        <f>K6+K7</f>
        <v>#VALUE!</v>
      </c>
      <c r="L8" s="20">
        <f t="shared" si="2"/>
        <v>5808.6838312684895</v>
      </c>
      <c r="M8" s="35">
        <f t="shared" si="2"/>
        <v>5808.6838312684895</v>
      </c>
      <c r="N8" s="35">
        <f t="shared" si="2"/>
        <v>29043.419156342447</v>
      </c>
      <c r="P8" s="188"/>
    </row>
    <row r="9" spans="1:16" ht="14.5" x14ac:dyDescent="0.35">
      <c r="C9" s="13"/>
      <c r="D9" s="13"/>
      <c r="E9" s="13"/>
      <c r="F9" s="13"/>
      <c r="G9" s="13"/>
      <c r="H9" s="13"/>
      <c r="I9" s="13"/>
      <c r="J9"/>
      <c r="K9" s="13"/>
      <c r="L9" s="13"/>
      <c r="M9" s="13"/>
      <c r="N9" s="13"/>
    </row>
    <row r="10" spans="1:16" ht="14.5" x14ac:dyDescent="0.35">
      <c r="C10" s="13"/>
      <c r="D10" s="13"/>
      <c r="E10" s="13"/>
      <c r="F10" s="13"/>
      <c r="G10" s="13"/>
      <c r="H10" s="13"/>
      <c r="I10" s="13"/>
      <c r="J10"/>
      <c r="K10" s="13"/>
      <c r="L10" s="13"/>
      <c r="M10" s="13"/>
      <c r="N10" s="13"/>
      <c r="P10"/>
    </row>
    <row r="11" spans="1:16" ht="27.65" customHeight="1" x14ac:dyDescent="0.35">
      <c r="A11" s="693" t="s">
        <v>198</v>
      </c>
      <c r="B11" s="678" t="s">
        <v>0</v>
      </c>
      <c r="C11" s="3">
        <v>2017</v>
      </c>
      <c r="D11" s="3">
        <v>2018</v>
      </c>
      <c r="E11" s="3">
        <v>2019</v>
      </c>
      <c r="F11" s="3">
        <v>2020</v>
      </c>
      <c r="G11" s="3">
        <v>2021</v>
      </c>
      <c r="H11" s="3">
        <v>2022</v>
      </c>
      <c r="I11" s="120">
        <v>2023</v>
      </c>
      <c r="J11"/>
      <c r="K11" s="179" t="s">
        <v>295</v>
      </c>
      <c r="L11" s="179" t="s">
        <v>296</v>
      </c>
      <c r="M11" s="179" t="s">
        <v>271</v>
      </c>
      <c r="N11" s="4" t="s">
        <v>62</v>
      </c>
      <c r="P11" s="685" t="s">
        <v>305</v>
      </c>
    </row>
    <row r="12" spans="1:16" ht="14.5" x14ac:dyDescent="0.35">
      <c r="A12" s="692"/>
      <c r="B12" s="679"/>
      <c r="C12" s="77">
        <v>12</v>
      </c>
      <c r="D12" s="77">
        <v>12</v>
      </c>
      <c r="E12" s="77">
        <v>12</v>
      </c>
      <c r="F12" s="77">
        <v>12</v>
      </c>
      <c r="G12" s="77">
        <v>12</v>
      </c>
      <c r="H12" s="77">
        <v>12</v>
      </c>
      <c r="I12" s="181">
        <v>12</v>
      </c>
      <c r="J12"/>
      <c r="K12" s="78">
        <v>12</v>
      </c>
      <c r="L12" s="78">
        <v>12</v>
      </c>
      <c r="M12" s="78">
        <v>12</v>
      </c>
      <c r="N12" s="78">
        <f>SUM(C12:I12)</f>
        <v>84</v>
      </c>
      <c r="P12" s="685"/>
    </row>
    <row r="13" spans="1:16" s="5" customFormat="1" ht="14.5" x14ac:dyDescent="0.35">
      <c r="A13" s="21" t="s">
        <v>197</v>
      </c>
      <c r="B13" s="151"/>
      <c r="C13" s="110">
        <f>SUM(C14:C16)</f>
        <v>0</v>
      </c>
      <c r="D13" s="110">
        <f t="shared" ref="D13:I13" si="3">SUM(D14:D16)</f>
        <v>0</v>
      </c>
      <c r="E13" s="110">
        <f t="shared" si="3"/>
        <v>1854.5733333333335</v>
      </c>
      <c r="F13" s="110">
        <f t="shared" si="3"/>
        <v>5563.7199999999993</v>
      </c>
      <c r="G13" s="110">
        <f t="shared" si="3"/>
        <v>5563.7199999999993</v>
      </c>
      <c r="H13" s="110">
        <f t="shared" si="3"/>
        <v>5563.7199999999993</v>
      </c>
      <c r="I13" s="184">
        <f t="shared" si="3"/>
        <v>5563.7199999999993</v>
      </c>
      <c r="J13"/>
      <c r="K13" s="177">
        <f t="shared" ref="K13:M13" si="4">SUM(K14:K16)</f>
        <v>0</v>
      </c>
      <c r="L13" s="23">
        <f t="shared" si="4"/>
        <v>4821.8906666666662</v>
      </c>
      <c r="M13" s="23">
        <f t="shared" si="4"/>
        <v>4821.8906666666662</v>
      </c>
      <c r="N13" s="178">
        <f>SUM(N14:N16)</f>
        <v>24109.453333333331</v>
      </c>
      <c r="P13" s="187"/>
    </row>
    <row r="14" spans="1:16" ht="14.5" x14ac:dyDescent="0.35">
      <c r="A14" s="25" t="s">
        <v>1</v>
      </c>
      <c r="B14" s="12"/>
      <c r="C14" s="13"/>
      <c r="D14" s="13"/>
      <c r="E14" s="13"/>
      <c r="F14" s="13"/>
      <c r="G14" s="13"/>
      <c r="H14" s="13"/>
      <c r="I14" s="157"/>
      <c r="J14"/>
      <c r="K14" s="206" t="str">
        <f t="shared" ref="K14:K16" si="5">IFERROR(AVERAGE(C14:D14),"")</f>
        <v/>
      </c>
      <c r="L14" s="212" t="str">
        <f t="shared" ref="L14:L16" si="6">IFERROR(AVERAGE(E14:I14),"")</f>
        <v/>
      </c>
      <c r="M14" s="205" t="str">
        <f t="shared" ref="M14:M16" si="7">IFERROR(AVERAGE(C14:I14),"")</f>
        <v/>
      </c>
      <c r="N14" s="205">
        <f t="shared" ref="N14:N16" si="8">SUM(C14:I14)</f>
        <v>0</v>
      </c>
      <c r="P14" s="186"/>
    </row>
    <row r="15" spans="1:16" ht="14.5" x14ac:dyDescent="0.35">
      <c r="A15" s="25" t="s">
        <v>167</v>
      </c>
      <c r="B15" s="12"/>
      <c r="C15" s="13"/>
      <c r="D15" s="13"/>
      <c r="E15" s="13"/>
      <c r="F15" s="13"/>
      <c r="G15" s="13"/>
      <c r="H15" s="13"/>
      <c r="I15" s="157"/>
      <c r="J15"/>
      <c r="K15" s="206" t="str">
        <f t="shared" si="5"/>
        <v/>
      </c>
      <c r="L15" s="212" t="str">
        <f t="shared" si="6"/>
        <v/>
      </c>
      <c r="M15" s="205" t="str">
        <f t="shared" si="7"/>
        <v/>
      </c>
      <c r="N15" s="205">
        <f t="shared" si="8"/>
        <v>0</v>
      </c>
      <c r="P15" s="187"/>
    </row>
    <row r="16" spans="1:16" ht="14.5" x14ac:dyDescent="0.35">
      <c r="A16" s="25" t="s">
        <v>2</v>
      </c>
      <c r="B16" s="12"/>
      <c r="C16" s="257"/>
      <c r="D16" s="257"/>
      <c r="E16" s="262">
        <v>1854.5733333333335</v>
      </c>
      <c r="F16" s="262">
        <v>5563.7199999999993</v>
      </c>
      <c r="G16" s="262">
        <v>5563.7199999999993</v>
      </c>
      <c r="H16" s="262">
        <v>5563.7199999999993</v>
      </c>
      <c r="I16" s="263">
        <v>5563.7199999999993</v>
      </c>
      <c r="J16"/>
      <c r="K16" s="206" t="str">
        <f t="shared" si="5"/>
        <v/>
      </c>
      <c r="L16" s="212">
        <f t="shared" si="6"/>
        <v>4821.8906666666662</v>
      </c>
      <c r="M16" s="205">
        <f t="shared" si="7"/>
        <v>4821.8906666666662</v>
      </c>
      <c r="N16" s="205">
        <f t="shared" si="8"/>
        <v>24109.453333333331</v>
      </c>
      <c r="P16" s="187" t="s">
        <v>310</v>
      </c>
    </row>
    <row r="17" spans="1:16" s="5" customFormat="1" ht="14.5" x14ac:dyDescent="0.35">
      <c r="A17" s="21" t="s">
        <v>199</v>
      </c>
      <c r="B17" s="151"/>
      <c r="C17" s="23">
        <f>SUM(C18:C25)</f>
        <v>0</v>
      </c>
      <c r="D17" s="23">
        <f t="shared" ref="D17:H17" si="9">SUM(D18:D25)</f>
        <v>0</v>
      </c>
      <c r="E17" s="23">
        <f t="shared" si="9"/>
        <v>3791.9382803327971</v>
      </c>
      <c r="F17" s="23">
        <f t="shared" si="9"/>
        <v>11375.814840998442</v>
      </c>
      <c r="G17" s="23">
        <f t="shared" si="9"/>
        <v>11375.814840998442</v>
      </c>
      <c r="H17" s="23">
        <f t="shared" si="9"/>
        <v>11375.814840998442</v>
      </c>
      <c r="I17" s="178">
        <f>SUM(I18:I25)</f>
        <v>11375.814840998441</v>
      </c>
      <c r="J17"/>
      <c r="K17" s="177">
        <f t="shared" ref="K17:M17" si="10">SUM(K18:K25)</f>
        <v>0</v>
      </c>
      <c r="L17" s="23">
        <f t="shared" si="10"/>
        <v>9859.0395288653144</v>
      </c>
      <c r="M17" s="23">
        <f t="shared" si="10"/>
        <v>9859.0395288653144</v>
      </c>
      <c r="N17" s="178">
        <f>SUM(N18:N25)</f>
        <v>49295.197644326567</v>
      </c>
      <c r="P17" s="188"/>
    </row>
    <row r="18" spans="1:16" ht="14.5" x14ac:dyDescent="0.35">
      <c r="A18" s="25" t="s">
        <v>3</v>
      </c>
      <c r="B18" s="12"/>
      <c r="C18" s="13"/>
      <c r="D18" s="13"/>
      <c r="E18" s="13"/>
      <c r="F18" s="13"/>
      <c r="G18" s="13"/>
      <c r="H18" s="13"/>
      <c r="I18" s="157"/>
      <c r="J18"/>
      <c r="K18" s="206" t="str">
        <f t="shared" ref="K18:K25" si="11">IFERROR(AVERAGE(C18:D18),"")</f>
        <v/>
      </c>
      <c r="L18" s="212" t="str">
        <f t="shared" ref="L18:L25" si="12">IFERROR(AVERAGE(E18:I18),"")</f>
        <v/>
      </c>
      <c r="M18" s="205" t="str">
        <f t="shared" ref="M18:M25" si="13">IFERROR(AVERAGE(C18:I18),"")</f>
        <v/>
      </c>
      <c r="N18" s="205">
        <f t="shared" ref="N18:N25" si="14">SUM(C18:I18)</f>
        <v>0</v>
      </c>
      <c r="P18" s="187"/>
    </row>
    <row r="19" spans="1:16" ht="14.5" x14ac:dyDescent="0.35">
      <c r="A19" s="25" t="s">
        <v>166</v>
      </c>
      <c r="B19" s="12"/>
      <c r="C19" s="13"/>
      <c r="D19" s="13"/>
      <c r="E19" s="13"/>
      <c r="F19" s="13"/>
      <c r="G19" s="13"/>
      <c r="H19" s="13"/>
      <c r="I19" s="157"/>
      <c r="J19"/>
      <c r="K19" s="206" t="str">
        <f t="shared" si="11"/>
        <v/>
      </c>
      <c r="L19" s="212" t="str">
        <f t="shared" si="12"/>
        <v/>
      </c>
      <c r="M19" s="205" t="str">
        <f t="shared" si="13"/>
        <v/>
      </c>
      <c r="N19" s="205">
        <f t="shared" si="14"/>
        <v>0</v>
      </c>
      <c r="P19" s="187"/>
    </row>
    <row r="20" spans="1:16" ht="14.5" x14ac:dyDescent="0.35">
      <c r="A20" s="25" t="s">
        <v>4</v>
      </c>
      <c r="B20" s="12"/>
      <c r="C20" s="251"/>
      <c r="D20" s="251"/>
      <c r="E20" s="262">
        <v>126.21890666666667</v>
      </c>
      <c r="F20" s="262">
        <v>378.65672000000001</v>
      </c>
      <c r="G20" s="262">
        <v>378.65672000000001</v>
      </c>
      <c r="H20" s="262">
        <v>378.65672000000001</v>
      </c>
      <c r="I20" s="263">
        <v>378.65671999999995</v>
      </c>
      <c r="J20"/>
      <c r="K20" s="206" t="str">
        <f t="shared" si="11"/>
        <v/>
      </c>
      <c r="L20" s="212">
        <f t="shared" si="12"/>
        <v>328.16915733333332</v>
      </c>
      <c r="M20" s="205">
        <f t="shared" si="13"/>
        <v>328.16915733333332</v>
      </c>
      <c r="N20" s="205">
        <f t="shared" si="14"/>
        <v>1640.8457866666665</v>
      </c>
      <c r="P20" s="187" t="s">
        <v>319</v>
      </c>
    </row>
    <row r="21" spans="1:16" ht="14.5" x14ac:dyDescent="0.35">
      <c r="A21" s="25" t="s">
        <v>5</v>
      </c>
      <c r="B21" s="12"/>
      <c r="C21" s="251"/>
      <c r="D21" s="251"/>
      <c r="E21" s="13"/>
      <c r="F21" s="13"/>
      <c r="G21" s="13"/>
      <c r="H21" s="13"/>
      <c r="I21" s="157"/>
      <c r="J21"/>
      <c r="K21" s="206" t="str">
        <f t="shared" si="11"/>
        <v/>
      </c>
      <c r="L21" s="212" t="str">
        <f t="shared" si="12"/>
        <v/>
      </c>
      <c r="M21" s="205" t="str">
        <f t="shared" si="13"/>
        <v/>
      </c>
      <c r="N21" s="205">
        <f t="shared" si="14"/>
        <v>0</v>
      </c>
      <c r="P21" s="187"/>
    </row>
    <row r="22" spans="1:16" ht="14.5" x14ac:dyDescent="0.35">
      <c r="A22" s="25" t="s">
        <v>176</v>
      </c>
      <c r="B22" s="12"/>
      <c r="C22" s="251"/>
      <c r="D22" s="251"/>
      <c r="E22" s="13"/>
      <c r="F22" s="13"/>
      <c r="G22" s="13"/>
      <c r="H22" s="13"/>
      <c r="I22" s="157"/>
      <c r="J22"/>
      <c r="K22" s="206" t="str">
        <f t="shared" si="11"/>
        <v/>
      </c>
      <c r="L22" s="212" t="str">
        <f t="shared" si="12"/>
        <v/>
      </c>
      <c r="M22" s="205" t="str">
        <f t="shared" si="13"/>
        <v/>
      </c>
      <c r="N22" s="205">
        <f t="shared" si="14"/>
        <v>0</v>
      </c>
      <c r="P22" s="187"/>
    </row>
    <row r="23" spans="1:16" ht="14.5" x14ac:dyDescent="0.35">
      <c r="A23" s="25" t="s">
        <v>182</v>
      </c>
      <c r="B23" s="12"/>
      <c r="C23" s="251"/>
      <c r="D23" s="251"/>
      <c r="E23" s="13"/>
      <c r="F23" s="13"/>
      <c r="G23" s="13"/>
      <c r="H23" s="13"/>
      <c r="I23" s="157"/>
      <c r="J23"/>
      <c r="K23" s="206" t="str">
        <f t="shared" si="11"/>
        <v/>
      </c>
      <c r="L23" s="212" t="str">
        <f t="shared" si="12"/>
        <v/>
      </c>
      <c r="M23" s="205" t="str">
        <f t="shared" si="13"/>
        <v/>
      </c>
      <c r="N23" s="205">
        <f t="shared" si="14"/>
        <v>0</v>
      </c>
      <c r="P23" s="187"/>
    </row>
    <row r="24" spans="1:16" ht="14.5" x14ac:dyDescent="0.35">
      <c r="A24" s="25" t="s">
        <v>6</v>
      </c>
      <c r="B24" s="12"/>
      <c r="C24" s="251"/>
      <c r="D24" s="251"/>
      <c r="E24" s="262">
        <v>3501.2578703554664</v>
      </c>
      <c r="F24" s="262">
        <v>10503.773611066448</v>
      </c>
      <c r="G24" s="262">
        <v>10503.773611066448</v>
      </c>
      <c r="H24" s="262">
        <v>10503.773611066448</v>
      </c>
      <c r="I24" s="263">
        <v>10503.773611066448</v>
      </c>
      <c r="J24"/>
      <c r="K24" s="206" t="str">
        <f t="shared" si="11"/>
        <v/>
      </c>
      <c r="L24" s="212">
        <f t="shared" si="12"/>
        <v>9103.2704629242526</v>
      </c>
      <c r="M24" s="205">
        <f t="shared" si="13"/>
        <v>9103.2704629242526</v>
      </c>
      <c r="N24" s="205">
        <f t="shared" si="14"/>
        <v>45516.352314621261</v>
      </c>
      <c r="P24" s="187" t="s">
        <v>316</v>
      </c>
    </row>
    <row r="25" spans="1:16" s="5" customFormat="1" ht="14.5" x14ac:dyDescent="0.35">
      <c r="A25" s="25" t="s">
        <v>196</v>
      </c>
      <c r="B25" s="12"/>
      <c r="C25" s="251"/>
      <c r="D25" s="251"/>
      <c r="E25" s="262">
        <v>164.46150331066434</v>
      </c>
      <c r="F25" s="262">
        <v>493.38450993199348</v>
      </c>
      <c r="G25" s="262">
        <v>493.38450993199348</v>
      </c>
      <c r="H25" s="262">
        <v>493.38450993199348</v>
      </c>
      <c r="I25" s="263">
        <v>493.38450993199348</v>
      </c>
      <c r="J25"/>
      <c r="K25" s="206" t="str">
        <f t="shared" si="11"/>
        <v/>
      </c>
      <c r="L25" s="212">
        <f t="shared" si="12"/>
        <v>427.59990860772768</v>
      </c>
      <c r="M25" s="205">
        <f t="shared" si="13"/>
        <v>427.59990860772768</v>
      </c>
      <c r="N25" s="205">
        <f t="shared" si="14"/>
        <v>2137.9995430386384</v>
      </c>
      <c r="P25" s="187"/>
    </row>
    <row r="26" spans="1:16" ht="14.5" x14ac:dyDescent="0.35">
      <c r="A26" s="21" t="s">
        <v>200</v>
      </c>
      <c r="B26" s="150"/>
      <c r="C26" s="23"/>
      <c r="D26" s="23"/>
      <c r="E26" s="23"/>
      <c r="F26" s="23"/>
      <c r="G26" s="23"/>
      <c r="H26" s="23"/>
      <c r="I26" s="178"/>
      <c r="J26"/>
      <c r="K26" s="177"/>
      <c r="L26" s="23"/>
      <c r="M26" s="178"/>
      <c r="N26" s="178"/>
      <c r="P26" s="188"/>
    </row>
    <row r="27" spans="1:16" ht="14.5" x14ac:dyDescent="0.35">
      <c r="A27" s="18" t="s">
        <v>208</v>
      </c>
      <c r="B27" s="57"/>
      <c r="C27" s="19">
        <f>C13+C17+C26</f>
        <v>0</v>
      </c>
      <c r="D27" s="19">
        <f t="shared" ref="D27:I27" si="15">D13+D17+D26</f>
        <v>0</v>
      </c>
      <c r="E27" s="19">
        <f t="shared" si="15"/>
        <v>5646.5116136661309</v>
      </c>
      <c r="F27" s="19">
        <f t="shared" si="15"/>
        <v>16939.534840998444</v>
      </c>
      <c r="G27" s="19">
        <f t="shared" si="15"/>
        <v>16939.534840998444</v>
      </c>
      <c r="H27" s="19">
        <f t="shared" si="15"/>
        <v>16939.534840998444</v>
      </c>
      <c r="I27" s="35">
        <f t="shared" si="15"/>
        <v>16939.53484099844</v>
      </c>
      <c r="J27"/>
      <c r="K27" s="60">
        <f t="shared" ref="K27:M27" si="16">K13+K17+K26</f>
        <v>0</v>
      </c>
      <c r="L27" s="19">
        <f t="shared" si="16"/>
        <v>14680.930195531981</v>
      </c>
      <c r="M27" s="35">
        <f t="shared" si="16"/>
        <v>14680.930195531981</v>
      </c>
      <c r="N27" s="35">
        <f>N13+N17+N26</f>
        <v>73404.650977659898</v>
      </c>
      <c r="P27" s="188"/>
    </row>
    <row r="28" spans="1:16" ht="14.5" x14ac:dyDescent="0.35">
      <c r="B28" s="2"/>
      <c r="C28" s="2"/>
      <c r="D28" s="2"/>
      <c r="E28" s="2"/>
      <c r="F28" s="2"/>
      <c r="G28" s="2"/>
      <c r="H28" s="2"/>
      <c r="I28" s="2"/>
      <c r="J28"/>
      <c r="K28" s="2"/>
      <c r="L28" s="2"/>
      <c r="M28" s="2"/>
      <c r="N28" s="2"/>
      <c r="P28" s="11"/>
    </row>
    <row r="29" spans="1:16" ht="14.5" x14ac:dyDescent="0.35">
      <c r="A29" s="111" t="s">
        <v>202</v>
      </c>
      <c r="B29" s="112"/>
      <c r="C29" s="236" t="e">
        <f>C25/C27</f>
        <v>#DIV/0!</v>
      </c>
      <c r="D29" s="236" t="e">
        <f t="shared" ref="D29:I29" si="17">D25/D27</f>
        <v>#DIV/0!</v>
      </c>
      <c r="E29" s="236">
        <f t="shared" si="17"/>
        <v>2.912621359223307E-2</v>
      </c>
      <c r="F29" s="236">
        <f t="shared" si="17"/>
        <v>2.9126213592233007E-2</v>
      </c>
      <c r="G29" s="236">
        <f t="shared" si="17"/>
        <v>2.9126213592233007E-2</v>
      </c>
      <c r="H29" s="236">
        <f t="shared" si="17"/>
        <v>2.9126213592233007E-2</v>
      </c>
      <c r="I29" s="237">
        <f t="shared" si="17"/>
        <v>2.9126213592233014E-2</v>
      </c>
      <c r="J29" s="240"/>
      <c r="K29" s="241" t="e">
        <f t="shared" ref="K29:M29" si="18">K25/K27</f>
        <v>#VALUE!</v>
      </c>
      <c r="L29" s="236">
        <f t="shared" si="18"/>
        <v>2.9126213592233018E-2</v>
      </c>
      <c r="M29" s="236">
        <f t="shared" si="18"/>
        <v>2.9126213592233018E-2</v>
      </c>
      <c r="N29" s="239">
        <f>N25/N27</f>
        <v>2.9126213592233018E-2</v>
      </c>
      <c r="P29" s="11"/>
    </row>
    <row r="30" spans="1:16" ht="14.5" x14ac:dyDescent="0.35">
      <c r="J30"/>
    </row>
    <row r="31" spans="1:16" ht="14.5" x14ac:dyDescent="0.35">
      <c r="J31"/>
    </row>
    <row r="32" spans="1:16" ht="14.5" x14ac:dyDescent="0.35">
      <c r="J32"/>
    </row>
  </sheetData>
  <mergeCells count="7">
    <mergeCell ref="P4:P5"/>
    <mergeCell ref="P11:P12"/>
    <mergeCell ref="A1:N1"/>
    <mergeCell ref="A4:A5"/>
    <mergeCell ref="B4:B5"/>
    <mergeCell ref="A11:A12"/>
    <mergeCell ref="B11:B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&amp;L&amp;F&amp;R&amp;A</oddHeader>
    <oddFooter>&amp;L&amp;D&amp;C&amp;P/&amp;N&amp;R&amp;T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  <pageSetUpPr fitToPage="1"/>
  </sheetPr>
  <dimension ref="A1:P33"/>
  <sheetViews>
    <sheetView showGridLines="0" zoomScale="85" zoomScaleNormal="85" workbookViewId="0">
      <selection sqref="A1:N1"/>
    </sheetView>
  </sheetViews>
  <sheetFormatPr baseColWidth="10" defaultColWidth="11.26953125" defaultRowHeight="13" x14ac:dyDescent="0.3"/>
  <cols>
    <col min="1" max="1" width="34.7265625" style="2" customWidth="1"/>
    <col min="2" max="2" width="11" style="17" customWidth="1"/>
    <col min="3" max="9" width="11" style="28" customWidth="1"/>
    <col min="10" max="10" width="6.7265625" style="28" customWidth="1"/>
    <col min="11" max="14" width="11" style="28" customWidth="1"/>
    <col min="15" max="15" width="11.26953125" style="2"/>
    <col min="16" max="16" width="20.26953125" style="2" bestFit="1" customWidth="1"/>
    <col min="17" max="16384" width="11.26953125" style="2"/>
  </cols>
  <sheetData>
    <row r="1" spans="1:16" ht="25.4" customHeight="1" x14ac:dyDescent="0.3">
      <c r="A1" s="680" t="s">
        <v>172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90"/>
      <c r="O1" s="1"/>
    </row>
    <row r="3" spans="1:16" customFormat="1" ht="14.5" x14ac:dyDescent="0.35"/>
    <row r="4" spans="1:16" ht="13.15" customHeight="1" x14ac:dyDescent="0.35">
      <c r="A4" s="693" t="s">
        <v>201</v>
      </c>
      <c r="B4" s="678" t="s">
        <v>0</v>
      </c>
      <c r="C4" s="3">
        <v>2017</v>
      </c>
      <c r="D4" s="3">
        <v>2018</v>
      </c>
      <c r="E4" s="3">
        <v>2019</v>
      </c>
      <c r="F4" s="3">
        <v>2020</v>
      </c>
      <c r="G4" s="3">
        <v>2021</v>
      </c>
      <c r="H4" s="3">
        <v>2022</v>
      </c>
      <c r="I4" s="120">
        <v>2023</v>
      </c>
      <c r="J4"/>
      <c r="K4" s="179" t="s">
        <v>295</v>
      </c>
      <c r="L4" s="179" t="s">
        <v>296</v>
      </c>
      <c r="M4" s="179" t="s">
        <v>271</v>
      </c>
      <c r="N4" s="4" t="s">
        <v>62</v>
      </c>
      <c r="P4" s="683" t="s">
        <v>305</v>
      </c>
    </row>
    <row r="5" spans="1:16" ht="22.9" customHeight="1" x14ac:dyDescent="0.35">
      <c r="A5" s="692"/>
      <c r="B5" s="679"/>
      <c r="C5" s="77">
        <v>12</v>
      </c>
      <c r="D5" s="77">
        <v>12</v>
      </c>
      <c r="E5" s="77">
        <v>12</v>
      </c>
      <c r="F5" s="77">
        <v>12</v>
      </c>
      <c r="G5" s="77">
        <v>12</v>
      </c>
      <c r="H5" s="77">
        <v>12</v>
      </c>
      <c r="I5" s="181">
        <v>12</v>
      </c>
      <c r="J5"/>
      <c r="K5" s="78">
        <v>12</v>
      </c>
      <c r="L5" s="78">
        <v>12</v>
      </c>
      <c r="M5" s="78">
        <v>12</v>
      </c>
      <c r="N5" s="78">
        <f>SUM(C5:I5)</f>
        <v>84</v>
      </c>
      <c r="P5" s="684"/>
    </row>
    <row r="6" spans="1:16" s="5" customFormat="1" ht="14.5" x14ac:dyDescent="0.35">
      <c r="A6" s="7" t="s">
        <v>66</v>
      </c>
      <c r="B6" s="8"/>
      <c r="C6" s="9"/>
      <c r="D6" s="9"/>
      <c r="E6" s="9"/>
      <c r="F6" s="9"/>
      <c r="G6" s="9"/>
      <c r="H6" s="9"/>
      <c r="I6" s="182"/>
      <c r="J6"/>
      <c r="K6" s="10"/>
      <c r="L6" s="10"/>
      <c r="M6" s="10"/>
      <c r="N6" s="10">
        <f>SUM(C6:I6)</f>
        <v>0</v>
      </c>
      <c r="P6" s="186"/>
    </row>
    <row r="7" spans="1:16" ht="14.5" x14ac:dyDescent="0.35">
      <c r="A7" s="109" t="s">
        <v>67</v>
      </c>
      <c r="B7" s="15"/>
      <c r="C7" s="106"/>
      <c r="D7" s="106"/>
      <c r="E7" s="106"/>
      <c r="F7" s="106"/>
      <c r="G7" s="106"/>
      <c r="H7" s="106"/>
      <c r="I7" s="183"/>
      <c r="J7"/>
      <c r="K7" s="200"/>
      <c r="L7" s="16"/>
      <c r="M7" s="201"/>
      <c r="N7" s="16">
        <f>SUM(C7:I7)</f>
        <v>0</v>
      </c>
      <c r="P7" s="187"/>
    </row>
    <row r="8" spans="1:16" ht="14.5" x14ac:dyDescent="0.35">
      <c r="A8" s="18" t="s">
        <v>207</v>
      </c>
      <c r="B8" s="68"/>
      <c r="C8" s="19">
        <f>C6+C7</f>
        <v>0</v>
      </c>
      <c r="D8" s="19">
        <f t="shared" ref="D8:I8" si="0">D6+D7</f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35">
        <f t="shared" si="0"/>
        <v>0</v>
      </c>
      <c r="J8"/>
      <c r="K8" s="60">
        <f>K6+K7</f>
        <v>0</v>
      </c>
      <c r="L8" s="20">
        <f t="shared" ref="L8:N8" si="1">L6+L7</f>
        <v>0</v>
      </c>
      <c r="M8" s="35">
        <f t="shared" si="1"/>
        <v>0</v>
      </c>
      <c r="N8" s="35">
        <f t="shared" si="1"/>
        <v>0</v>
      </c>
      <c r="P8" s="188"/>
    </row>
    <row r="9" spans="1:16" ht="14.5" x14ac:dyDescent="0.35">
      <c r="C9" s="13"/>
      <c r="D9" s="13"/>
      <c r="E9" s="13"/>
      <c r="F9" s="13"/>
      <c r="G9" s="13"/>
      <c r="H9" s="13"/>
      <c r="I9" s="13"/>
      <c r="J9"/>
      <c r="K9" s="13"/>
      <c r="L9" s="13"/>
      <c r="M9" s="13"/>
      <c r="N9" s="13"/>
    </row>
    <row r="10" spans="1:16" ht="14.5" x14ac:dyDescent="0.35">
      <c r="C10" s="13"/>
      <c r="D10" s="13"/>
      <c r="E10" s="13"/>
      <c r="F10" s="13"/>
      <c r="G10" s="13"/>
      <c r="H10" s="13"/>
      <c r="I10" s="13"/>
      <c r="J10"/>
      <c r="K10" s="13"/>
      <c r="L10" s="13"/>
      <c r="M10" s="13"/>
      <c r="N10" s="13"/>
      <c r="P10"/>
    </row>
    <row r="11" spans="1:16" ht="26" x14ac:dyDescent="0.35">
      <c r="A11" s="693" t="s">
        <v>198</v>
      </c>
      <c r="B11" s="678" t="s">
        <v>0</v>
      </c>
      <c r="C11" s="3">
        <v>2017</v>
      </c>
      <c r="D11" s="3">
        <v>2018</v>
      </c>
      <c r="E11" s="3">
        <v>2019</v>
      </c>
      <c r="F11" s="3">
        <v>2020</v>
      </c>
      <c r="G11" s="3">
        <v>2021</v>
      </c>
      <c r="H11" s="3">
        <v>2022</v>
      </c>
      <c r="I11" s="120">
        <v>2023</v>
      </c>
      <c r="J11"/>
      <c r="K11" s="179" t="s">
        <v>295</v>
      </c>
      <c r="L11" s="179" t="s">
        <v>296</v>
      </c>
      <c r="M11" s="179" t="s">
        <v>271</v>
      </c>
      <c r="N11" s="4" t="s">
        <v>62</v>
      </c>
      <c r="P11" s="685" t="s">
        <v>305</v>
      </c>
    </row>
    <row r="12" spans="1:16" ht="14.5" x14ac:dyDescent="0.35">
      <c r="A12" s="692"/>
      <c r="B12" s="679"/>
      <c r="C12" s="77">
        <v>12</v>
      </c>
      <c r="D12" s="77">
        <v>12</v>
      </c>
      <c r="E12" s="77">
        <v>12</v>
      </c>
      <c r="F12" s="77">
        <v>12</v>
      </c>
      <c r="G12" s="77">
        <v>12</v>
      </c>
      <c r="H12" s="77">
        <v>12</v>
      </c>
      <c r="I12" s="181">
        <v>12</v>
      </c>
      <c r="J12"/>
      <c r="K12" s="78">
        <v>12</v>
      </c>
      <c r="L12" s="78">
        <v>12</v>
      </c>
      <c r="M12" s="78">
        <v>12</v>
      </c>
      <c r="N12" s="78">
        <f>SUM(C12:I12)</f>
        <v>84</v>
      </c>
      <c r="P12" s="685"/>
    </row>
    <row r="13" spans="1:16" s="5" customFormat="1" ht="14.5" x14ac:dyDescent="0.35">
      <c r="A13" s="21" t="s">
        <v>197</v>
      </c>
      <c r="B13" s="151"/>
      <c r="C13" s="110">
        <f>SUM(C14:C16)</f>
        <v>0</v>
      </c>
      <c r="D13" s="110">
        <f t="shared" ref="D13:I13" si="2">SUM(D14:D16)</f>
        <v>0</v>
      </c>
      <c r="E13" s="110">
        <f t="shared" si="2"/>
        <v>0</v>
      </c>
      <c r="F13" s="110">
        <f t="shared" si="2"/>
        <v>0</v>
      </c>
      <c r="G13" s="110">
        <f t="shared" si="2"/>
        <v>0</v>
      </c>
      <c r="H13" s="110">
        <f t="shared" si="2"/>
        <v>0</v>
      </c>
      <c r="I13" s="184">
        <f t="shared" si="2"/>
        <v>0</v>
      </c>
      <c r="J13"/>
      <c r="K13" s="177">
        <f t="shared" ref="K13:M13" si="3">SUM(K14:K16)</f>
        <v>0</v>
      </c>
      <c r="L13" s="23">
        <f t="shared" si="3"/>
        <v>0</v>
      </c>
      <c r="M13" s="23">
        <f t="shared" si="3"/>
        <v>0</v>
      </c>
      <c r="N13" s="178">
        <f>SUM(N14:N16)</f>
        <v>0</v>
      </c>
      <c r="P13" s="187"/>
    </row>
    <row r="14" spans="1:16" ht="14.5" x14ac:dyDescent="0.35">
      <c r="A14" s="25" t="s">
        <v>1</v>
      </c>
      <c r="B14" s="12"/>
      <c r="C14" s="13"/>
      <c r="D14" s="13"/>
      <c r="E14" s="13"/>
      <c r="F14" s="13"/>
      <c r="G14" s="13"/>
      <c r="H14" s="13"/>
      <c r="I14" s="157"/>
      <c r="J14"/>
      <c r="K14" s="206" t="str">
        <f t="shared" ref="K14:K16" si="4">IFERROR(AVERAGE(C14:D14),"")</f>
        <v/>
      </c>
      <c r="L14" s="212" t="str">
        <f t="shared" ref="L14:L16" si="5">IFERROR(AVERAGE(E14:I14),"")</f>
        <v/>
      </c>
      <c r="M14" s="205" t="str">
        <f t="shared" ref="M14:M16" si="6">IFERROR(AVERAGE(C14:I14),"")</f>
        <v/>
      </c>
      <c r="N14" s="205">
        <f t="shared" ref="N14:N16" si="7">SUM(C14:I14)</f>
        <v>0</v>
      </c>
      <c r="P14" s="186"/>
    </row>
    <row r="15" spans="1:16" ht="14.5" x14ac:dyDescent="0.35">
      <c r="A15" s="25" t="s">
        <v>167</v>
      </c>
      <c r="B15" s="12"/>
      <c r="C15" s="13"/>
      <c r="D15" s="13"/>
      <c r="E15" s="13"/>
      <c r="F15" s="13"/>
      <c r="G15" s="13"/>
      <c r="H15" s="13"/>
      <c r="I15" s="157"/>
      <c r="J15"/>
      <c r="K15" s="206" t="str">
        <f t="shared" si="4"/>
        <v/>
      </c>
      <c r="L15" s="212" t="str">
        <f t="shared" si="5"/>
        <v/>
      </c>
      <c r="M15" s="205" t="str">
        <f t="shared" si="6"/>
        <v/>
      </c>
      <c r="N15" s="205">
        <f t="shared" si="7"/>
        <v>0</v>
      </c>
      <c r="P15" s="187"/>
    </row>
    <row r="16" spans="1:16" ht="14.5" x14ac:dyDescent="0.35">
      <c r="A16" s="25" t="s">
        <v>2</v>
      </c>
      <c r="B16" s="12"/>
      <c r="C16" s="13"/>
      <c r="D16" s="13"/>
      <c r="E16" s="13"/>
      <c r="F16" s="13"/>
      <c r="G16" s="13"/>
      <c r="H16" s="13"/>
      <c r="I16" s="157"/>
      <c r="J16"/>
      <c r="K16" s="206" t="str">
        <f t="shared" si="4"/>
        <v/>
      </c>
      <c r="L16" s="212" t="str">
        <f t="shared" si="5"/>
        <v/>
      </c>
      <c r="M16" s="205" t="str">
        <f t="shared" si="6"/>
        <v/>
      </c>
      <c r="N16" s="205">
        <f t="shared" si="7"/>
        <v>0</v>
      </c>
      <c r="P16" s="187"/>
    </row>
    <row r="17" spans="1:16" s="5" customFormat="1" ht="14.5" x14ac:dyDescent="0.35">
      <c r="A17" s="21" t="s">
        <v>199</v>
      </c>
      <c r="B17" s="151"/>
      <c r="C17" s="23">
        <f>SUM(C18:C25)</f>
        <v>0</v>
      </c>
      <c r="D17" s="23">
        <f t="shared" ref="D17:H17" si="8">SUM(D18:D25)</f>
        <v>25049.624269090917</v>
      </c>
      <c r="E17" s="23">
        <f t="shared" si="8"/>
        <v>42599.948661818184</v>
      </c>
      <c r="F17" s="23">
        <f t="shared" si="8"/>
        <v>42599.948661818184</v>
      </c>
      <c r="G17" s="23">
        <f t="shared" si="8"/>
        <v>57051.740225454545</v>
      </c>
      <c r="H17" s="23">
        <f t="shared" si="8"/>
        <v>57051.740225454545</v>
      </c>
      <c r="I17" s="178">
        <f>SUM(I18:I25)</f>
        <v>57051.740225454545</v>
      </c>
      <c r="J17"/>
      <c r="K17" s="177">
        <f t="shared" ref="K17:M17" si="9">SUM(K18:K25)</f>
        <v>25049.624269090917</v>
      </c>
      <c r="L17" s="23">
        <f t="shared" si="9"/>
        <v>51271.023599999993</v>
      </c>
      <c r="M17" s="23">
        <f t="shared" si="9"/>
        <v>46900.790378181817</v>
      </c>
      <c r="N17" s="178">
        <f>SUM(N18:N25)</f>
        <v>281404.74226909096</v>
      </c>
      <c r="P17" s="188"/>
    </row>
    <row r="18" spans="1:16" ht="14.5" x14ac:dyDescent="0.35">
      <c r="A18" s="25" t="s">
        <v>3</v>
      </c>
      <c r="B18" s="12"/>
      <c r="C18" s="251"/>
      <c r="D18" s="262">
        <v>5563.6363636363603</v>
      </c>
      <c r="E18" s="262">
        <v>3927.272727272727</v>
      </c>
      <c r="F18" s="262">
        <v>3927.272727272727</v>
      </c>
      <c r="G18" s="262">
        <v>3927.272727272727</v>
      </c>
      <c r="H18" s="262">
        <v>3927.272727272727</v>
      </c>
      <c r="I18" s="263">
        <v>3927.272727272727</v>
      </c>
      <c r="J18"/>
      <c r="K18" s="206">
        <f t="shared" ref="K18:K25" si="10">IFERROR(AVERAGE(C18:D18),"")</f>
        <v>5563.6363636363603</v>
      </c>
      <c r="L18" s="212">
        <f t="shared" ref="L18:L25" si="11">IFERROR(AVERAGE(E18:I18),"")</f>
        <v>3927.272727272727</v>
      </c>
      <c r="M18" s="205">
        <f t="shared" ref="M18:M25" si="12">IFERROR(AVERAGE(C18:I18),"")</f>
        <v>4200</v>
      </c>
      <c r="N18" s="205">
        <f t="shared" ref="N18:N25" si="13">SUM(C18:I18)</f>
        <v>25200</v>
      </c>
      <c r="P18" s="187" t="s">
        <v>318</v>
      </c>
    </row>
    <row r="19" spans="1:16" ht="14.5" x14ac:dyDescent="0.35">
      <c r="A19" s="25" t="s">
        <v>166</v>
      </c>
      <c r="B19" s="12"/>
      <c r="C19" s="251"/>
      <c r="D19" s="13"/>
      <c r="E19" s="13"/>
      <c r="F19" s="13"/>
      <c r="G19" s="13"/>
      <c r="H19" s="13"/>
      <c r="I19" s="157"/>
      <c r="J19"/>
      <c r="K19" s="206" t="str">
        <f t="shared" si="10"/>
        <v/>
      </c>
      <c r="L19" s="212" t="str">
        <f t="shared" si="11"/>
        <v/>
      </c>
      <c r="M19" s="205" t="str">
        <f t="shared" si="12"/>
        <v/>
      </c>
      <c r="N19" s="205">
        <f t="shared" si="13"/>
        <v>0</v>
      </c>
      <c r="P19" s="187"/>
    </row>
    <row r="20" spans="1:16" ht="14.5" x14ac:dyDescent="0.35">
      <c r="A20" s="25" t="s">
        <v>4</v>
      </c>
      <c r="B20" s="12"/>
      <c r="C20" s="251"/>
      <c r="D20" s="262">
        <v>121.11272727272731</v>
      </c>
      <c r="E20" s="262">
        <v>214.47447272727274</v>
      </c>
      <c r="F20" s="262">
        <v>214.47447272727274</v>
      </c>
      <c r="G20" s="262">
        <v>287.24421818181816</v>
      </c>
      <c r="H20" s="262">
        <v>287.24421818181816</v>
      </c>
      <c r="I20" s="263">
        <v>287.24421818181816</v>
      </c>
      <c r="J20"/>
      <c r="K20" s="206">
        <f t="shared" si="10"/>
        <v>121.11272727272731</v>
      </c>
      <c r="L20" s="212">
        <f t="shared" si="11"/>
        <v>258.13631999999996</v>
      </c>
      <c r="M20" s="205">
        <f t="shared" si="12"/>
        <v>235.2990545454546</v>
      </c>
      <c r="N20" s="205">
        <f t="shared" si="13"/>
        <v>1411.7943272727275</v>
      </c>
      <c r="P20" s="187" t="s">
        <v>319</v>
      </c>
    </row>
    <row r="21" spans="1:16" ht="14.5" x14ac:dyDescent="0.35">
      <c r="A21" s="25" t="s">
        <v>5</v>
      </c>
      <c r="B21" s="12"/>
      <c r="C21" s="251"/>
      <c r="D21" s="13"/>
      <c r="E21" s="13"/>
      <c r="F21" s="13"/>
      <c r="G21" s="13"/>
      <c r="H21" s="13"/>
      <c r="I21" s="157"/>
      <c r="J21"/>
      <c r="K21" s="206" t="str">
        <f t="shared" si="10"/>
        <v/>
      </c>
      <c r="L21" s="212" t="str">
        <f t="shared" si="11"/>
        <v/>
      </c>
      <c r="M21" s="205" t="str">
        <f t="shared" si="12"/>
        <v/>
      </c>
      <c r="N21" s="205">
        <f t="shared" si="13"/>
        <v>0</v>
      </c>
      <c r="P21" s="187"/>
    </row>
    <row r="22" spans="1:16" ht="14.5" x14ac:dyDescent="0.35">
      <c r="A22" s="25" t="s">
        <v>176</v>
      </c>
      <c r="B22" s="12"/>
      <c r="C22" s="251"/>
      <c r="D22" s="13"/>
      <c r="E22" s="13"/>
      <c r="F22" s="13"/>
      <c r="G22" s="13"/>
      <c r="H22" s="13"/>
      <c r="I22" s="157"/>
      <c r="J22"/>
      <c r="K22" s="206" t="str">
        <f t="shared" si="10"/>
        <v/>
      </c>
      <c r="L22" s="212" t="str">
        <f t="shared" si="11"/>
        <v/>
      </c>
      <c r="M22" s="205" t="str">
        <f t="shared" si="12"/>
        <v/>
      </c>
      <c r="N22" s="205">
        <f t="shared" si="13"/>
        <v>0</v>
      </c>
      <c r="P22" s="187"/>
    </row>
    <row r="23" spans="1:16" ht="14.5" x14ac:dyDescent="0.35">
      <c r="A23" s="25" t="s">
        <v>182</v>
      </c>
      <c r="B23" s="12"/>
      <c r="C23" s="251"/>
      <c r="D23" s="13"/>
      <c r="E23" s="13"/>
      <c r="F23" s="13"/>
      <c r="G23" s="13"/>
      <c r="H23" s="13"/>
      <c r="I23" s="157"/>
      <c r="J23"/>
      <c r="K23" s="206" t="str">
        <f t="shared" si="10"/>
        <v/>
      </c>
      <c r="L23" s="212" t="str">
        <f t="shared" si="11"/>
        <v/>
      </c>
      <c r="M23" s="205" t="str">
        <f t="shared" si="12"/>
        <v/>
      </c>
      <c r="N23" s="205">
        <f t="shared" si="13"/>
        <v>0</v>
      </c>
      <c r="P23" s="187"/>
    </row>
    <row r="24" spans="1:16" s="5" customFormat="1" ht="14.5" x14ac:dyDescent="0.35">
      <c r="A24" s="25" t="s">
        <v>6</v>
      </c>
      <c r="B24" s="12"/>
      <c r="C24" s="251"/>
      <c r="D24" s="262">
        <v>18658.909090909099</v>
      </c>
      <c r="E24" s="262">
        <v>37317.818181818184</v>
      </c>
      <c r="F24" s="262">
        <v>37317.818181818184</v>
      </c>
      <c r="G24" s="262">
        <v>51312</v>
      </c>
      <c r="H24" s="262">
        <v>51312</v>
      </c>
      <c r="I24" s="263">
        <v>51312</v>
      </c>
      <c r="J24"/>
      <c r="K24" s="206">
        <f t="shared" si="10"/>
        <v>18658.909090909099</v>
      </c>
      <c r="L24" s="212">
        <f t="shared" si="11"/>
        <v>45714.327272727271</v>
      </c>
      <c r="M24" s="205">
        <f t="shared" si="12"/>
        <v>41205.090909090912</v>
      </c>
      <c r="N24" s="205">
        <f t="shared" si="13"/>
        <v>247230.54545454547</v>
      </c>
      <c r="P24" s="187" t="s">
        <v>316</v>
      </c>
    </row>
    <row r="25" spans="1:16" ht="14.5" x14ac:dyDescent="0.35">
      <c r="A25" s="25" t="s">
        <v>196</v>
      </c>
      <c r="B25" s="12"/>
      <c r="C25" s="251"/>
      <c r="D25" s="262">
        <v>705.96608727272746</v>
      </c>
      <c r="E25" s="262">
        <v>1140.38328</v>
      </c>
      <c r="F25" s="262">
        <v>1140.38328</v>
      </c>
      <c r="G25" s="262">
        <v>1525.2232799999999</v>
      </c>
      <c r="H25" s="262">
        <v>1525.2232799999999</v>
      </c>
      <c r="I25" s="263">
        <v>1525.2232799999999</v>
      </c>
      <c r="J25"/>
      <c r="K25" s="206">
        <f t="shared" si="10"/>
        <v>705.96608727272746</v>
      </c>
      <c r="L25" s="212">
        <f t="shared" si="11"/>
        <v>1371.28728</v>
      </c>
      <c r="M25" s="205">
        <f t="shared" si="12"/>
        <v>1260.4004145454546</v>
      </c>
      <c r="N25" s="205">
        <f t="shared" si="13"/>
        <v>7562.4024872727277</v>
      </c>
      <c r="P25" s="187"/>
    </row>
    <row r="26" spans="1:16" ht="14.5" x14ac:dyDescent="0.35">
      <c r="A26" s="21" t="s">
        <v>200</v>
      </c>
      <c r="B26" s="150"/>
      <c r="C26" s="23"/>
      <c r="D26" s="23"/>
      <c r="E26" s="23"/>
      <c r="F26" s="23"/>
      <c r="G26" s="23"/>
      <c r="H26" s="23"/>
      <c r="I26" s="178"/>
      <c r="J26"/>
      <c r="K26" s="177"/>
      <c r="L26" s="23"/>
      <c r="M26" s="178"/>
      <c r="N26" s="178"/>
      <c r="P26" s="188"/>
    </row>
    <row r="27" spans="1:16" ht="14.5" x14ac:dyDescent="0.35">
      <c r="A27" s="18" t="s">
        <v>208</v>
      </c>
      <c r="B27" s="57"/>
      <c r="C27" s="19">
        <f>C13+C17+C26</f>
        <v>0</v>
      </c>
      <c r="D27" s="19">
        <f t="shared" ref="D27:I27" si="14">D13+D17+D26</f>
        <v>25049.624269090917</v>
      </c>
      <c r="E27" s="19">
        <f t="shared" si="14"/>
        <v>42599.948661818184</v>
      </c>
      <c r="F27" s="19">
        <f t="shared" si="14"/>
        <v>42599.948661818184</v>
      </c>
      <c r="G27" s="19">
        <f t="shared" si="14"/>
        <v>57051.740225454545</v>
      </c>
      <c r="H27" s="19">
        <f t="shared" si="14"/>
        <v>57051.740225454545</v>
      </c>
      <c r="I27" s="35">
        <f t="shared" si="14"/>
        <v>57051.740225454545</v>
      </c>
      <c r="J27"/>
      <c r="K27" s="60">
        <f t="shared" ref="K27:M27" si="15">K13+K17+K26</f>
        <v>25049.624269090917</v>
      </c>
      <c r="L27" s="19">
        <f t="shared" si="15"/>
        <v>51271.023599999993</v>
      </c>
      <c r="M27" s="35">
        <f t="shared" si="15"/>
        <v>46900.790378181817</v>
      </c>
      <c r="N27" s="35">
        <f>N13+N17+N26</f>
        <v>281404.74226909096</v>
      </c>
      <c r="P27" s="188"/>
    </row>
    <row r="28" spans="1:16" ht="14.5" x14ac:dyDescent="0.35">
      <c r="B28" s="30"/>
      <c r="C28" s="2"/>
      <c r="D28" s="2"/>
      <c r="E28" s="2"/>
      <c r="F28" s="2"/>
      <c r="G28" s="2"/>
      <c r="H28" s="2"/>
      <c r="I28" s="2"/>
      <c r="J28"/>
      <c r="K28" s="2"/>
      <c r="L28" s="2"/>
      <c r="M28" s="2"/>
      <c r="N28" s="2"/>
      <c r="P28" s="11"/>
    </row>
    <row r="29" spans="1:16" ht="14.5" x14ac:dyDescent="0.35">
      <c r="A29" s="111" t="s">
        <v>202</v>
      </c>
      <c r="B29" s="112"/>
      <c r="C29" s="236" t="e">
        <f>C25/C27</f>
        <v>#DIV/0!</v>
      </c>
      <c r="D29" s="236">
        <f t="shared" ref="D29:I29" si="16">D25/D27</f>
        <v>2.8182701652089408E-2</v>
      </c>
      <c r="E29" s="236">
        <f t="shared" si="16"/>
        <v>2.6769592823995859E-2</v>
      </c>
      <c r="F29" s="236">
        <f t="shared" si="16"/>
        <v>2.6769592823995859E-2</v>
      </c>
      <c r="G29" s="236">
        <f t="shared" si="16"/>
        <v>2.6734036051708328E-2</v>
      </c>
      <c r="H29" s="236">
        <f t="shared" si="16"/>
        <v>2.6734036051708328E-2</v>
      </c>
      <c r="I29" s="237">
        <f t="shared" si="16"/>
        <v>2.6734036051708328E-2</v>
      </c>
      <c r="J29" s="240"/>
      <c r="K29" s="241">
        <f t="shared" ref="K29:M29" si="17">K25/K27</f>
        <v>2.8182701652089408E-2</v>
      </c>
      <c r="L29" s="236">
        <f t="shared" si="17"/>
        <v>2.6745853382962304E-2</v>
      </c>
      <c r="M29" s="236">
        <f t="shared" si="17"/>
        <v>2.6873756377713224E-2</v>
      </c>
      <c r="N29" s="239">
        <f>N25/N27</f>
        <v>2.687375637771322E-2</v>
      </c>
    </row>
    <row r="30" spans="1:16" ht="14.5" x14ac:dyDescent="0.35">
      <c r="J30"/>
    </row>
    <row r="31" spans="1:16" ht="14.5" x14ac:dyDescent="0.35">
      <c r="J31"/>
    </row>
    <row r="32" spans="1:16" ht="14.5" x14ac:dyDescent="0.35">
      <c r="J32"/>
    </row>
    <row r="33" spans="10:10" ht="14.5" x14ac:dyDescent="0.35">
      <c r="J33"/>
    </row>
  </sheetData>
  <mergeCells count="7">
    <mergeCell ref="P4:P5"/>
    <mergeCell ref="P11:P12"/>
    <mergeCell ref="A1:N1"/>
    <mergeCell ref="A4:A5"/>
    <mergeCell ref="B4:B5"/>
    <mergeCell ref="A11:A12"/>
    <mergeCell ref="B11:B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&amp;L&amp;F&amp;R&amp;A</oddHeader>
    <oddFooter>&amp;L&amp;D&amp;C&amp;P/&amp;N&amp;R&amp;T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K55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x14ac:dyDescent="0.3"/>
  <cols>
    <col min="1" max="1" width="32.453125" style="2" customWidth="1"/>
    <col min="2" max="2" width="17.1796875" style="2" customWidth="1"/>
    <col min="3" max="4" width="11.453125" style="11" customWidth="1"/>
    <col min="5" max="5" width="12.453125" style="58" bestFit="1" customWidth="1"/>
    <col min="6" max="8" width="11.453125" style="11" customWidth="1"/>
    <col min="9" max="10" width="11.453125" style="58" customWidth="1"/>
    <col min="11" max="11" width="11.453125" style="274" customWidth="1"/>
    <col min="12" max="16384" width="11.26953125" style="2"/>
  </cols>
  <sheetData>
    <row r="1" spans="1:11" ht="30" customHeight="1" x14ac:dyDescent="0.3">
      <c r="A1" s="680" t="s">
        <v>528</v>
      </c>
      <c r="B1" s="689"/>
      <c r="C1" s="689"/>
      <c r="D1" s="689"/>
      <c r="E1" s="689"/>
      <c r="F1" s="689"/>
      <c r="G1" s="689"/>
      <c r="H1" s="689"/>
      <c r="I1" s="689"/>
      <c r="J1" s="690"/>
    </row>
    <row r="3" spans="1:11" ht="28.15" customHeight="1" x14ac:dyDescent="0.3">
      <c r="A3" s="691" t="s">
        <v>297</v>
      </c>
      <c r="B3" s="697" t="s">
        <v>169</v>
      </c>
      <c r="C3" s="3">
        <f>Annee</f>
        <v>2024</v>
      </c>
      <c r="D3" s="291">
        <f>C3+1</f>
        <v>2025</v>
      </c>
      <c r="E3" s="291">
        <f t="shared" ref="E3:G3" si="0">D3+1</f>
        <v>2026</v>
      </c>
      <c r="F3" s="291">
        <f t="shared" si="0"/>
        <v>2027</v>
      </c>
      <c r="G3" s="291">
        <f t="shared" si="0"/>
        <v>2028</v>
      </c>
      <c r="H3" s="295">
        <f>G3+1</f>
        <v>2029</v>
      </c>
      <c r="I3" s="179" t="s">
        <v>271</v>
      </c>
      <c r="J3" s="4" t="s">
        <v>62</v>
      </c>
    </row>
    <row r="4" spans="1:11" x14ac:dyDescent="0.3">
      <c r="A4" s="692"/>
      <c r="B4" s="698"/>
      <c r="C4" s="77">
        <v>12</v>
      </c>
      <c r="D4" s="77">
        <v>12</v>
      </c>
      <c r="E4" s="77">
        <v>12</v>
      </c>
      <c r="F4" s="77">
        <v>12</v>
      </c>
      <c r="G4" s="77">
        <v>12</v>
      </c>
      <c r="H4" s="77">
        <v>12</v>
      </c>
      <c r="I4" s="78">
        <f>IFERROR(AVERAGE(C4:H4),0)</f>
        <v>12</v>
      </c>
      <c r="J4" s="78">
        <f>SUM(C4:H4)</f>
        <v>72</v>
      </c>
    </row>
    <row r="5" spans="1:11" x14ac:dyDescent="0.3">
      <c r="A5" s="36" t="s">
        <v>298</v>
      </c>
      <c r="B5" s="37"/>
      <c r="C5" s="323">
        <f>'4a'!C9</f>
        <v>7201048.1230001869</v>
      </c>
      <c r="D5" s="323">
        <f>'4a'!D9</f>
        <v>7201048.1230001831</v>
      </c>
      <c r="E5" s="323">
        <f>'4a'!E9</f>
        <v>7201048.1230001887</v>
      </c>
      <c r="F5" s="323">
        <f>'4a'!F9</f>
        <v>7201048.1230001841</v>
      </c>
      <c r="G5" s="323">
        <f>'4a'!G9</f>
        <v>7201048.1230001859</v>
      </c>
      <c r="H5" s="191">
        <f>'4a'!H9</f>
        <v>7201048.1230001906</v>
      </c>
      <c r="I5" s="10">
        <f>IFERROR(AVERAGE(C5:H5),0)</f>
        <v>7201048.1230001869</v>
      </c>
      <c r="J5" s="39">
        <f>SUM(C5:H5)</f>
        <v>43206288.738001123</v>
      </c>
    </row>
    <row r="6" spans="1:11" x14ac:dyDescent="0.3">
      <c r="A6" s="36" t="s">
        <v>299</v>
      </c>
      <c r="B6" s="37"/>
      <c r="C6" s="137">
        <f>'4a'!C40</f>
        <v>1426285.5400000212</v>
      </c>
      <c r="D6" s="137">
        <f>'4a'!D40</f>
        <v>1426285.5400000217</v>
      </c>
      <c r="E6" s="137">
        <f>'4a'!E40</f>
        <v>1426285.5400000217</v>
      </c>
      <c r="F6" s="137">
        <f>'4a'!F40</f>
        <v>1426285.5400000215</v>
      </c>
      <c r="G6" s="137">
        <f>'4a'!G40</f>
        <v>1426285.5400000215</v>
      </c>
      <c r="H6" s="38">
        <f>'4a'!H40</f>
        <v>1426285.5400000217</v>
      </c>
      <c r="I6" s="39">
        <f>IFERROR(AVERAGE(C6:H6),0)</f>
        <v>1426285.5400000215</v>
      </c>
      <c r="J6" s="39">
        <f>SUM(C6:H6)</f>
        <v>8557713.2400001287</v>
      </c>
    </row>
    <row r="7" spans="1:11" x14ac:dyDescent="0.3">
      <c r="A7" s="36" t="s">
        <v>300</v>
      </c>
      <c r="B7" s="37"/>
      <c r="C7" s="137">
        <f>'4a'!C71</f>
        <v>345093.34652000834</v>
      </c>
      <c r="D7" s="137">
        <f>'4a'!D71</f>
        <v>345093.34652000823</v>
      </c>
      <c r="E7" s="137">
        <f>'4a'!E71</f>
        <v>345093.34652000846</v>
      </c>
      <c r="F7" s="137">
        <f>'4a'!F71</f>
        <v>345093.34652000817</v>
      </c>
      <c r="G7" s="137">
        <f>'4a'!G71</f>
        <v>345093.34652000823</v>
      </c>
      <c r="H7" s="38">
        <f>'4a'!H71</f>
        <v>345093.34652000846</v>
      </c>
      <c r="I7" s="39">
        <f>IFERROR(AVERAGE(C7:H7),0)</f>
        <v>345093.34652000834</v>
      </c>
      <c r="J7" s="39">
        <f>SUM(C7:H7)</f>
        <v>2070560.07912005</v>
      </c>
    </row>
    <row r="8" spans="1:11" x14ac:dyDescent="0.3">
      <c r="A8" s="18" t="s">
        <v>8</v>
      </c>
      <c r="B8" s="34"/>
      <c r="C8" s="60">
        <f>SUM(C5:C7)</f>
        <v>8972427.0095202159</v>
      </c>
      <c r="D8" s="19">
        <f t="shared" ref="D8:H8" si="1">SUM(D5:D7)</f>
        <v>8972427.0095202141</v>
      </c>
      <c r="E8" s="19">
        <f t="shared" si="1"/>
        <v>8972427.0095202196</v>
      </c>
      <c r="F8" s="19">
        <f t="shared" si="1"/>
        <v>8972427.0095202141</v>
      </c>
      <c r="G8" s="19">
        <f t="shared" si="1"/>
        <v>8972427.0095202159</v>
      </c>
      <c r="H8" s="35">
        <f t="shared" si="1"/>
        <v>8972427.0095202215</v>
      </c>
      <c r="I8" s="35">
        <f>IFERROR(AVERAGE(C8:H8),0)</f>
        <v>8972427.0095202159</v>
      </c>
      <c r="J8" s="35">
        <f>SUM(C8:H8)</f>
        <v>53834562.057121292</v>
      </c>
    </row>
    <row r="9" spans="1:11" x14ac:dyDescent="0.3">
      <c r="E9" s="11"/>
      <c r="I9" s="2"/>
      <c r="J9" s="2"/>
    </row>
    <row r="10" spans="1:11" ht="27" customHeight="1" x14ac:dyDescent="0.3">
      <c r="A10" s="668" t="s">
        <v>100</v>
      </c>
      <c r="B10" s="678" t="s">
        <v>0</v>
      </c>
      <c r="C10" s="3">
        <f>Annee</f>
        <v>2024</v>
      </c>
      <c r="D10" s="291">
        <f>C10+1</f>
        <v>2025</v>
      </c>
      <c r="E10" s="291">
        <f t="shared" ref="E10:G10" si="2">D10+1</f>
        <v>2026</v>
      </c>
      <c r="F10" s="291">
        <f t="shared" si="2"/>
        <v>2027</v>
      </c>
      <c r="G10" s="291">
        <f t="shared" si="2"/>
        <v>2028</v>
      </c>
      <c r="H10" s="295">
        <f>G10+1</f>
        <v>2029</v>
      </c>
      <c r="I10" s="179" t="s">
        <v>271</v>
      </c>
      <c r="J10" s="4" t="s">
        <v>62</v>
      </c>
    </row>
    <row r="11" spans="1:11" x14ac:dyDescent="0.3">
      <c r="A11" s="669"/>
      <c r="B11" s="679"/>
      <c r="C11" s="77">
        <v>12</v>
      </c>
      <c r="D11" s="77">
        <v>12</v>
      </c>
      <c r="E11" s="77">
        <v>12</v>
      </c>
      <c r="F11" s="77">
        <v>12</v>
      </c>
      <c r="G11" s="77">
        <v>12</v>
      </c>
      <c r="H11" s="77">
        <v>12</v>
      </c>
      <c r="I11" s="78">
        <f t="shared" ref="I11:I30" si="3">IFERROR(AVERAGE(C11:H11),0)</f>
        <v>12</v>
      </c>
      <c r="J11" s="78">
        <f t="shared" ref="J11:J30" si="4">SUM(C11:H11)</f>
        <v>72</v>
      </c>
    </row>
    <row r="12" spans="1:11" x14ac:dyDescent="0.3">
      <c r="A12" s="50" t="s">
        <v>363</v>
      </c>
      <c r="B12" s="51"/>
      <c r="C12" s="357">
        <f>SUM(C13:C14)</f>
        <v>26771392.695787985</v>
      </c>
      <c r="D12" s="293">
        <f t="shared" ref="D12:H12" si="5">SUM(D13:D14)</f>
        <v>26921978.187504061</v>
      </c>
      <c r="E12" s="293">
        <f t="shared" si="5"/>
        <v>26877700.33641253</v>
      </c>
      <c r="F12" s="293">
        <f t="shared" si="5"/>
        <v>27250871.10287793</v>
      </c>
      <c r="G12" s="293">
        <f t="shared" si="5"/>
        <v>27100128.067987796</v>
      </c>
      <c r="H12" s="292">
        <f t="shared" si="5"/>
        <v>27766655.669964373</v>
      </c>
      <c r="I12" s="54">
        <f t="shared" si="3"/>
        <v>27114787.676755782</v>
      </c>
      <c r="J12" s="54">
        <f t="shared" si="4"/>
        <v>162688726.06053469</v>
      </c>
    </row>
    <row r="13" spans="1:11" x14ac:dyDescent="0.3">
      <c r="A13" s="25" t="s">
        <v>11</v>
      </c>
      <c r="B13" s="695" t="s">
        <v>170</v>
      </c>
      <c r="C13" s="583">
        <f>'4b'!C56+'4b'!C65+'4b'!C74+'4b'!C83+'4b'!C92+'4b'!C101+'4b'!C115+'4b'!C124+'4b'!C133</f>
        <v>8434857.249255009</v>
      </c>
      <c r="D13" s="583">
        <f>'4b'!D56+'4b'!D65+'4b'!D74+'4b'!D83+'4b'!D92+'4b'!D101+'4b'!D115+'4b'!D124+'4b'!D133</f>
        <v>8461525.1118617672</v>
      </c>
      <c r="E13" s="583">
        <f>'4b'!E56+'4b'!E65+'4b'!E74+'4b'!E83+'4b'!E92+'4b'!E101+'4b'!E115+'4b'!E124+'4b'!E133</f>
        <v>8357256.7627165718</v>
      </c>
      <c r="F13" s="583">
        <f>'4b'!F56+'4b'!F65+'4b'!F74+'4b'!F83+'4b'!F92+'4b'!F101+'4b'!F115+'4b'!F124+'4b'!F133</f>
        <v>8580392.9167786781</v>
      </c>
      <c r="G13" s="583">
        <f>'4b'!G56+'4b'!G65+'4b'!G74+'4b'!G83+'4b'!G92+'4b'!G101+'4b'!G115+'4b'!G124+'4b'!G133</f>
        <v>8311515.7681798721</v>
      </c>
      <c r="H13" s="584">
        <f>'4b'!H56+'4b'!H65+'4b'!H74+'4b'!H83+'4b'!H92+'4b'!H101+'4b'!H115+'4b'!H124+'4b'!H133</f>
        <v>8855380.213389175</v>
      </c>
      <c r="I13" s="10">
        <f t="shared" si="3"/>
        <v>8500154.6703635119</v>
      </c>
      <c r="J13" s="39">
        <f t="shared" si="4"/>
        <v>51000928.022181071</v>
      </c>
    </row>
    <row r="14" spans="1:11" x14ac:dyDescent="0.3">
      <c r="A14" s="25" t="s">
        <v>12</v>
      </c>
      <c r="B14" s="696"/>
      <c r="C14" s="583">
        <f>'4b'!C190+'4b'!C191+'4b'!C192+'4b'!C193</f>
        <v>18336535.446532976</v>
      </c>
      <c r="D14" s="583">
        <f>'4b'!D190+'4b'!D191+'4b'!D192+'4b'!D193</f>
        <v>18460453.075642295</v>
      </c>
      <c r="E14" s="583">
        <f>'4b'!E190+'4b'!E191+'4b'!E192+'4b'!E193</f>
        <v>18520443.573695958</v>
      </c>
      <c r="F14" s="583">
        <f>'4b'!F190+'4b'!F191+'4b'!F192+'4b'!F193</f>
        <v>18670478.18609925</v>
      </c>
      <c r="G14" s="583">
        <f>'4b'!G190+'4b'!G191+'4b'!G192+'4b'!G193</f>
        <v>18788612.299807925</v>
      </c>
      <c r="H14" s="584">
        <f>'4b'!H190+'4b'!H191+'4b'!H192+'4b'!H193</f>
        <v>18911275.4565752</v>
      </c>
      <c r="I14" s="39">
        <f t="shared" si="3"/>
        <v>18614633.006392267</v>
      </c>
      <c r="J14" s="39">
        <f t="shared" si="4"/>
        <v>111687798.03835359</v>
      </c>
    </row>
    <row r="15" spans="1:11" x14ac:dyDescent="0.3">
      <c r="A15" s="50" t="s">
        <v>364</v>
      </c>
      <c r="B15" s="53"/>
      <c r="C15" s="357">
        <f>SUM(C16:C17)</f>
        <v>0</v>
      </c>
      <c r="D15" s="293">
        <f t="shared" ref="D15:H15" si="6">SUM(D16:D17)</f>
        <v>0</v>
      </c>
      <c r="E15" s="293">
        <f t="shared" si="6"/>
        <v>0</v>
      </c>
      <c r="F15" s="293">
        <f t="shared" si="6"/>
        <v>0</v>
      </c>
      <c r="G15" s="293">
        <f t="shared" si="6"/>
        <v>0</v>
      </c>
      <c r="H15" s="292">
        <f t="shared" si="6"/>
        <v>0</v>
      </c>
      <c r="I15" s="54">
        <f t="shared" si="3"/>
        <v>0</v>
      </c>
      <c r="J15" s="54">
        <f t="shared" si="4"/>
        <v>0</v>
      </c>
    </row>
    <row r="16" spans="1:11" s="171" customFormat="1" x14ac:dyDescent="0.3">
      <c r="A16" s="169" t="s">
        <v>11</v>
      </c>
      <c r="B16" s="695" t="s">
        <v>170</v>
      </c>
      <c r="C16" s="323">
        <f>'4b'!C61+'4b'!C70+'4b'!C79+'4b'!C88+'4b'!C97+'4b'!C106+'4b'!C120+'4b'!C129+'4b'!C138</f>
        <v>0</v>
      </c>
      <c r="D16" s="323">
        <f>'4b'!D61+'4b'!D70+'4b'!D79+'4b'!D88+'4b'!D97+'4b'!D106+'4b'!D120+'4b'!D129+'4b'!D138</f>
        <v>0</v>
      </c>
      <c r="E16" s="323">
        <f>'4b'!E61+'4b'!E70+'4b'!E79+'4b'!E88+'4b'!E97+'4b'!E106+'4b'!E120+'4b'!E129+'4b'!E138</f>
        <v>0</v>
      </c>
      <c r="F16" s="323">
        <f>'4b'!F61+'4b'!F70+'4b'!F79+'4b'!F88+'4b'!F97+'4b'!F106+'4b'!F120+'4b'!F129+'4b'!F138</f>
        <v>0</v>
      </c>
      <c r="G16" s="323">
        <f>'4b'!G61+'4b'!G70+'4b'!G79+'4b'!G88+'4b'!G97+'4b'!G106+'4b'!G120+'4b'!G129+'4b'!G138</f>
        <v>0</v>
      </c>
      <c r="H16" s="191">
        <f>'4b'!H61+'4b'!H70+'4b'!H79+'4b'!H88+'4b'!H97+'4b'!H106+'4b'!H120+'4b'!H129+'4b'!H138</f>
        <v>0</v>
      </c>
      <c r="I16" s="354">
        <f t="shared" si="3"/>
        <v>0</v>
      </c>
      <c r="J16" s="355">
        <f t="shared" si="4"/>
        <v>0</v>
      </c>
      <c r="K16" s="356"/>
    </row>
    <row r="17" spans="1:11" s="171" customFormat="1" x14ac:dyDescent="0.3">
      <c r="A17" s="169" t="s">
        <v>12</v>
      </c>
      <c r="B17" s="696"/>
      <c r="C17" s="323">
        <f>'4b'!C194</f>
        <v>0</v>
      </c>
      <c r="D17" s="323">
        <f>'4b'!D194</f>
        <v>0</v>
      </c>
      <c r="E17" s="323">
        <f>'4b'!E194</f>
        <v>0</v>
      </c>
      <c r="F17" s="323">
        <f>'4b'!F194</f>
        <v>0</v>
      </c>
      <c r="G17" s="323">
        <f>'4b'!G194</f>
        <v>0</v>
      </c>
      <c r="H17" s="191">
        <f>'4b'!H194</f>
        <v>0</v>
      </c>
      <c r="I17" s="355">
        <f t="shared" si="3"/>
        <v>0</v>
      </c>
      <c r="J17" s="355">
        <f t="shared" si="4"/>
        <v>0</v>
      </c>
      <c r="K17" s="356"/>
    </row>
    <row r="18" spans="1:11" x14ac:dyDescent="0.3">
      <c r="A18" s="50" t="s">
        <v>466</v>
      </c>
      <c r="B18" s="53"/>
      <c r="C18" s="357">
        <f>SUM(C19:C20)</f>
        <v>0</v>
      </c>
      <c r="D18" s="293">
        <f t="shared" ref="D18:H18" si="7">SUM(D19:D20)</f>
        <v>0</v>
      </c>
      <c r="E18" s="293">
        <f t="shared" si="7"/>
        <v>0</v>
      </c>
      <c r="F18" s="293">
        <f t="shared" si="7"/>
        <v>0</v>
      </c>
      <c r="G18" s="293">
        <f t="shared" si="7"/>
        <v>0</v>
      </c>
      <c r="H18" s="292">
        <f t="shared" si="7"/>
        <v>0</v>
      </c>
      <c r="I18" s="54">
        <f t="shared" ref="I18:I20" si="8">IFERROR(AVERAGE(C18:H18),0)</f>
        <v>0</v>
      </c>
      <c r="J18" s="54">
        <f t="shared" ref="J18:J20" si="9">SUM(C18:H18)</f>
        <v>0</v>
      </c>
    </row>
    <row r="19" spans="1:11" s="171" customFormat="1" x14ac:dyDescent="0.3">
      <c r="A19" s="169" t="s">
        <v>11</v>
      </c>
      <c r="B19" s="695" t="s">
        <v>170</v>
      </c>
      <c r="C19" s="323">
        <f>'4b'!C62+'4b'!C71+'4b'!C80+'4b'!C89+'4b'!C98+'4b'!C107+'4b'!C121+'4b'!C130+'4b'!C139</f>
        <v>0</v>
      </c>
      <c r="D19" s="323">
        <f>'4b'!D62+'4b'!D71+'4b'!D80+'4b'!D89+'4b'!D98+'4b'!D107+'4b'!D121+'4b'!D130+'4b'!D139</f>
        <v>0</v>
      </c>
      <c r="E19" s="323">
        <f>'4b'!E62+'4b'!E71+'4b'!E80+'4b'!E89+'4b'!E98+'4b'!E107+'4b'!E121+'4b'!E130+'4b'!E139</f>
        <v>0</v>
      </c>
      <c r="F19" s="323">
        <f>'4b'!F62+'4b'!F71+'4b'!F80+'4b'!F89+'4b'!F98+'4b'!F107+'4b'!F121+'4b'!F130+'4b'!F139</f>
        <v>0</v>
      </c>
      <c r="G19" s="323">
        <f>'4b'!G62+'4b'!G71+'4b'!G80+'4b'!G89+'4b'!G98+'4b'!G107+'4b'!G121+'4b'!G130+'4b'!G139</f>
        <v>0</v>
      </c>
      <c r="H19" s="191">
        <f>'4b'!H62+'4b'!H71+'4b'!H80+'4b'!H89+'4b'!H98+'4b'!H107+'4b'!H121+'4b'!H130+'4b'!H139</f>
        <v>0</v>
      </c>
      <c r="I19" s="354">
        <f t="shared" si="8"/>
        <v>0</v>
      </c>
      <c r="J19" s="355">
        <f t="shared" si="9"/>
        <v>0</v>
      </c>
      <c r="K19" s="356"/>
    </row>
    <row r="20" spans="1:11" s="171" customFormat="1" x14ac:dyDescent="0.3">
      <c r="A20" s="169" t="s">
        <v>12</v>
      </c>
      <c r="B20" s="696"/>
      <c r="C20" s="323">
        <f>'4b'!C195</f>
        <v>0</v>
      </c>
      <c r="D20" s="323">
        <f>'4b'!D195</f>
        <v>0</v>
      </c>
      <c r="E20" s="323">
        <f>'4b'!E195</f>
        <v>0</v>
      </c>
      <c r="F20" s="323">
        <f>'4b'!F195</f>
        <v>0</v>
      </c>
      <c r="G20" s="323">
        <f>'4b'!G195</f>
        <v>0</v>
      </c>
      <c r="H20" s="191">
        <f>'4b'!H195</f>
        <v>0</v>
      </c>
      <c r="I20" s="355">
        <f t="shared" si="8"/>
        <v>0</v>
      </c>
      <c r="J20" s="355">
        <f t="shared" si="9"/>
        <v>0</v>
      </c>
      <c r="K20" s="356"/>
    </row>
    <row r="21" spans="1:11" x14ac:dyDescent="0.3">
      <c r="A21" s="50" t="s">
        <v>365</v>
      </c>
      <c r="B21" s="53"/>
      <c r="C21" s="357">
        <f>SUM(C22:C23)</f>
        <v>719428.97061489825</v>
      </c>
      <c r="D21" s="293">
        <f t="shared" ref="D21:H21" si="10">SUM(D22:D23)</f>
        <v>715860.30212616734</v>
      </c>
      <c r="E21" s="293">
        <f t="shared" si="10"/>
        <v>724246.72510088363</v>
      </c>
      <c r="F21" s="293">
        <f t="shared" si="10"/>
        <v>723819.35223678942</v>
      </c>
      <c r="G21" s="293">
        <f t="shared" si="10"/>
        <v>735250.76595572045</v>
      </c>
      <c r="H21" s="292">
        <f t="shared" si="10"/>
        <v>745715.77483109932</v>
      </c>
      <c r="I21" s="54">
        <f t="shared" si="3"/>
        <v>727386.98181092634</v>
      </c>
      <c r="J21" s="54">
        <f t="shared" si="4"/>
        <v>4364321.8908655578</v>
      </c>
    </row>
    <row r="22" spans="1:11" s="171" customFormat="1" x14ac:dyDescent="0.3">
      <c r="A22" s="169" t="s">
        <v>11</v>
      </c>
      <c r="B22" s="695" t="s">
        <v>170</v>
      </c>
      <c r="C22" s="323">
        <f>'4b'!C63+'4b'!C72+'4b'!C81+'4b'!C90+'4b'!C99+'4b'!C108+'4b'!C122+'4b'!C131+'4b'!C140</f>
        <v>84897.737443150312</v>
      </c>
      <c r="D22" s="323">
        <f>'4b'!D63+'4b'!D72+'4b'!D81+'4b'!D90+'4b'!D99+'4b'!D108+'4b'!D122+'4b'!D131+'4b'!D140</f>
        <v>77040.930323229957</v>
      </c>
      <c r="E22" s="323">
        <f>'4b'!E63+'4b'!E72+'4b'!E81+'4b'!E90+'4b'!E99+'4b'!E108+'4b'!E122+'4b'!E131+'4b'!E140</f>
        <v>83351.397083667238</v>
      </c>
      <c r="F22" s="323">
        <f>'4b'!F63+'4b'!F72+'4b'!F81+'4b'!F90+'4b'!F99+'4b'!F108+'4b'!F122+'4b'!F131+'4b'!F140</f>
        <v>77732.113899092801</v>
      </c>
      <c r="G22" s="323">
        <f>'4b'!G63+'4b'!G72+'4b'!G81+'4b'!G90+'4b'!G99+'4b'!G108+'4b'!G122+'4b'!G131+'4b'!G140</f>
        <v>85075.526093974258</v>
      </c>
      <c r="H22" s="191">
        <f>'4b'!H63+'4b'!H72+'4b'!H81+'4b'!H90+'4b'!H99+'4b'!H108+'4b'!H122+'4b'!H131+'4b'!H140</f>
        <v>91295.807040501124</v>
      </c>
      <c r="I22" s="354">
        <f t="shared" si="3"/>
        <v>83232.251980602625</v>
      </c>
      <c r="J22" s="355">
        <f t="shared" si="4"/>
        <v>499393.51188361575</v>
      </c>
      <c r="K22" s="356"/>
    </row>
    <row r="23" spans="1:11" s="171" customFormat="1" x14ac:dyDescent="0.3">
      <c r="A23" s="169" t="s">
        <v>12</v>
      </c>
      <c r="B23" s="696"/>
      <c r="C23" s="323">
        <f>'4b'!C196</f>
        <v>634531.23317174788</v>
      </c>
      <c r="D23" s="323">
        <f>'4b'!D196</f>
        <v>638819.37180293736</v>
      </c>
      <c r="E23" s="323">
        <f>'4b'!E196</f>
        <v>640895.32801721641</v>
      </c>
      <c r="F23" s="323">
        <f>'4b'!F196</f>
        <v>646087.23833769665</v>
      </c>
      <c r="G23" s="323">
        <f>'4b'!G196</f>
        <v>650175.2398617462</v>
      </c>
      <c r="H23" s="191">
        <f>'4b'!H196</f>
        <v>654419.96779059817</v>
      </c>
      <c r="I23" s="355">
        <f t="shared" si="3"/>
        <v>644154.72983032383</v>
      </c>
      <c r="J23" s="355">
        <f t="shared" si="4"/>
        <v>3864928.3789819428</v>
      </c>
      <c r="K23" s="356"/>
    </row>
    <row r="24" spans="1:11" x14ac:dyDescent="0.3">
      <c r="A24" s="50" t="s">
        <v>69</v>
      </c>
      <c r="B24" s="53"/>
      <c r="C24" s="357">
        <f>SUM(C25:C26)</f>
        <v>55479.119143619901</v>
      </c>
      <c r="D24" s="293">
        <f t="shared" ref="D24" si="11">SUM(D25:D26)</f>
        <v>54964.01230251127</v>
      </c>
      <c r="E24" s="293">
        <f t="shared" ref="E24" si="12">SUM(E25:E26)</f>
        <v>54804.325244632979</v>
      </c>
      <c r="F24" s="293">
        <f t="shared" ref="F24" si="13">SUM(F25:F26)</f>
        <v>55591.802182076171</v>
      </c>
      <c r="G24" s="293">
        <f t="shared" ref="G24" si="14">SUM(G25:G26)</f>
        <v>60567.938966638423</v>
      </c>
      <c r="H24" s="292">
        <f t="shared" ref="H24" si="15">SUM(H25:H26)</f>
        <v>55654.014198540455</v>
      </c>
      <c r="I24" s="54">
        <f t="shared" si="3"/>
        <v>56176.868673003199</v>
      </c>
      <c r="J24" s="54">
        <f t="shared" si="4"/>
        <v>337061.21203801921</v>
      </c>
    </row>
    <row r="25" spans="1:11" x14ac:dyDescent="0.3">
      <c r="A25" s="25" t="s">
        <v>204</v>
      </c>
      <c r="B25" s="695" t="s">
        <v>171</v>
      </c>
      <c r="C25" s="137">
        <f>'4c'!C19</f>
        <v>11894.970000000001</v>
      </c>
      <c r="D25" s="137">
        <f>'4c'!D19</f>
        <v>10522.470000000001</v>
      </c>
      <c r="E25" s="137">
        <f>'4c'!E19</f>
        <v>10184.970000000001</v>
      </c>
      <c r="F25" s="137">
        <f>'4c'!F19</f>
        <v>10584.970000000001</v>
      </c>
      <c r="G25" s="137">
        <f>'4c'!G19</f>
        <v>13963.970000000001</v>
      </c>
      <c r="H25" s="38">
        <f>'4c'!H19</f>
        <v>12888.970000000001</v>
      </c>
      <c r="I25" s="10">
        <f t="shared" si="3"/>
        <v>11673.386666666667</v>
      </c>
      <c r="J25" s="39">
        <f t="shared" si="4"/>
        <v>70040.320000000007</v>
      </c>
    </row>
    <row r="26" spans="1:11" s="5" customFormat="1" x14ac:dyDescent="0.3">
      <c r="A26" s="25" t="s">
        <v>12</v>
      </c>
      <c r="B26" s="696"/>
      <c r="C26" s="137">
        <f>'4c'!C25</f>
        <v>43584.149143619899</v>
      </c>
      <c r="D26" s="137">
        <f>'4c'!D25</f>
        <v>44441.542302511269</v>
      </c>
      <c r="E26" s="137">
        <f>'4c'!E25</f>
        <v>44619.355244632978</v>
      </c>
      <c r="F26" s="137">
        <f>'4c'!F25</f>
        <v>45006.83218207617</v>
      </c>
      <c r="G26" s="137">
        <f>'4c'!G25</f>
        <v>46603.968966638422</v>
      </c>
      <c r="H26" s="38">
        <f>'4c'!H25</f>
        <v>42765.044198540454</v>
      </c>
      <c r="I26" s="39">
        <f t="shared" si="3"/>
        <v>44503.482006336533</v>
      </c>
      <c r="J26" s="39">
        <f t="shared" si="4"/>
        <v>267020.8920380192</v>
      </c>
      <c r="K26" s="42"/>
    </row>
    <row r="27" spans="1:11" x14ac:dyDescent="0.3">
      <c r="A27" s="50" t="s">
        <v>301</v>
      </c>
      <c r="B27" s="53"/>
      <c r="C27" s="357">
        <f>C28</f>
        <v>85493.700000000012</v>
      </c>
      <c r="D27" s="293">
        <f t="shared" ref="D27:H27" si="16">D28</f>
        <v>85493.700000000012</v>
      </c>
      <c r="E27" s="293">
        <f t="shared" si="16"/>
        <v>85493.700000000012</v>
      </c>
      <c r="F27" s="293">
        <f t="shared" si="16"/>
        <v>85493.700000000012</v>
      </c>
      <c r="G27" s="293">
        <f t="shared" si="16"/>
        <v>85493.700000000012</v>
      </c>
      <c r="H27" s="292">
        <f t="shared" si="16"/>
        <v>85493.700000000012</v>
      </c>
      <c r="I27" s="54">
        <f t="shared" si="3"/>
        <v>85493.700000000012</v>
      </c>
      <c r="J27" s="54">
        <f t="shared" si="4"/>
        <v>512962.20000000007</v>
      </c>
    </row>
    <row r="28" spans="1:11" x14ac:dyDescent="0.3">
      <c r="A28" s="25" t="s">
        <v>11</v>
      </c>
      <c r="B28" s="180" t="s">
        <v>302</v>
      </c>
      <c r="C28" s="324">
        <f>+'4d'!C23</f>
        <v>85493.700000000012</v>
      </c>
      <c r="D28" s="324">
        <f>+'4d'!D23</f>
        <v>85493.700000000012</v>
      </c>
      <c r="E28" s="324">
        <f>+'4d'!E23</f>
        <v>85493.700000000012</v>
      </c>
      <c r="F28" s="324">
        <f>+'4d'!F23</f>
        <v>85493.700000000012</v>
      </c>
      <c r="G28" s="324">
        <f>+'4d'!G23</f>
        <v>85493.700000000012</v>
      </c>
      <c r="H28" s="326">
        <f>+'4d'!H23</f>
        <v>85493.700000000012</v>
      </c>
      <c r="I28" s="39">
        <f t="shared" si="3"/>
        <v>85493.700000000012</v>
      </c>
      <c r="J28" s="39">
        <f t="shared" si="4"/>
        <v>512962.20000000007</v>
      </c>
    </row>
    <row r="29" spans="1:11" x14ac:dyDescent="0.3">
      <c r="A29" s="50" t="s">
        <v>367</v>
      </c>
      <c r="B29" s="53"/>
      <c r="C29" s="357">
        <f>'4b'!C141</f>
        <v>240000</v>
      </c>
      <c r="D29" s="293">
        <f>'4b'!D141</f>
        <v>240000</v>
      </c>
      <c r="E29" s="293">
        <f>'4b'!E141</f>
        <v>240000</v>
      </c>
      <c r="F29" s="293">
        <f>'4b'!F141</f>
        <v>240000</v>
      </c>
      <c r="G29" s="293">
        <f>'4b'!G141</f>
        <v>240000</v>
      </c>
      <c r="H29" s="292">
        <f>'4b'!H141</f>
        <v>240000</v>
      </c>
      <c r="I29" s="54">
        <f t="shared" si="3"/>
        <v>240000</v>
      </c>
      <c r="J29" s="54">
        <f t="shared" si="4"/>
        <v>1440000</v>
      </c>
    </row>
    <row r="30" spans="1:11" s="5" customFormat="1" x14ac:dyDescent="0.3">
      <c r="A30" s="18" t="s">
        <v>8</v>
      </c>
      <c r="B30" s="57"/>
      <c r="C30" s="60">
        <f>C12+C15+C21+C24+C27+C29</f>
        <v>27871794.485546503</v>
      </c>
      <c r="D30" s="19">
        <f t="shared" ref="D30:H30" si="17">D12+D15+D21+D24+D27+D29</f>
        <v>28018296.201932739</v>
      </c>
      <c r="E30" s="19">
        <f t="shared" si="17"/>
        <v>27982245.086758044</v>
      </c>
      <c r="F30" s="19">
        <f t="shared" si="17"/>
        <v>28355775.957296792</v>
      </c>
      <c r="G30" s="19">
        <f t="shared" si="17"/>
        <v>28221440.472910155</v>
      </c>
      <c r="H30" s="35">
        <f t="shared" si="17"/>
        <v>28893519.158994012</v>
      </c>
      <c r="I30" s="20">
        <f t="shared" si="3"/>
        <v>28223845.227239709</v>
      </c>
      <c r="J30" s="20">
        <f t="shared" si="4"/>
        <v>169343071.36343825</v>
      </c>
      <c r="K30" s="42"/>
    </row>
    <row r="31" spans="1:11" x14ac:dyDescent="0.3">
      <c r="C31" s="2"/>
      <c r="D31" s="2"/>
      <c r="E31" s="2"/>
      <c r="F31" s="2"/>
      <c r="G31" s="2"/>
      <c r="H31" s="2"/>
      <c r="I31" s="2"/>
      <c r="J31" s="2"/>
    </row>
    <row r="32" spans="1:11" ht="27" customHeight="1" x14ac:dyDescent="0.3">
      <c r="A32" s="691" t="s">
        <v>366</v>
      </c>
      <c r="B32" s="678"/>
      <c r="C32" s="3">
        <f>Annee</f>
        <v>2024</v>
      </c>
      <c r="D32" s="291">
        <f>C32+1</f>
        <v>2025</v>
      </c>
      <c r="E32" s="291">
        <f t="shared" ref="E32:G32" si="18">D32+1</f>
        <v>2026</v>
      </c>
      <c r="F32" s="291">
        <f t="shared" si="18"/>
        <v>2027</v>
      </c>
      <c r="G32" s="291">
        <f t="shared" si="18"/>
        <v>2028</v>
      </c>
      <c r="H32" s="295">
        <f>G32+1</f>
        <v>2029</v>
      </c>
      <c r="I32" s="179" t="s">
        <v>271</v>
      </c>
      <c r="J32" s="4" t="s">
        <v>62</v>
      </c>
    </row>
    <row r="33" spans="1:11" x14ac:dyDescent="0.3">
      <c r="A33" s="694" t="s">
        <v>11</v>
      </c>
      <c r="B33" s="679"/>
      <c r="C33" s="77">
        <v>12</v>
      </c>
      <c r="D33" s="77">
        <v>12</v>
      </c>
      <c r="E33" s="77">
        <v>12</v>
      </c>
      <c r="F33" s="77">
        <v>12</v>
      </c>
      <c r="G33" s="77">
        <v>12</v>
      </c>
      <c r="H33" s="77">
        <v>12</v>
      </c>
      <c r="I33" s="78">
        <f t="shared" ref="I33:I49" si="19">IFERROR(AVERAGE(C33:H33),0)</f>
        <v>12</v>
      </c>
      <c r="J33" s="78">
        <f t="shared" ref="J33:J49" si="20">SUM(C33:H33)</f>
        <v>72</v>
      </c>
    </row>
    <row r="34" spans="1:11" x14ac:dyDescent="0.3">
      <c r="A34" s="50" t="s">
        <v>84</v>
      </c>
      <c r="B34" s="53"/>
      <c r="C34" s="357">
        <f>SUM(C35:C39)</f>
        <v>8605248.6866981592</v>
      </c>
      <c r="D34" s="293">
        <f t="shared" ref="D34:H34" si="21">SUM(D35:D39)</f>
        <v>8624059.7421849966</v>
      </c>
      <c r="E34" s="293">
        <f t="shared" si="21"/>
        <v>8526101.8598002382</v>
      </c>
      <c r="F34" s="293">
        <f t="shared" si="21"/>
        <v>8743618.7306777705</v>
      </c>
      <c r="G34" s="293">
        <f t="shared" si="21"/>
        <v>8482084.9942738451</v>
      </c>
      <c r="H34" s="292">
        <f t="shared" si="21"/>
        <v>9032169.7204296757</v>
      </c>
      <c r="I34" s="54">
        <f t="shared" si="19"/>
        <v>8668880.6223441139</v>
      </c>
      <c r="J34" s="54">
        <f t="shared" si="20"/>
        <v>52013283.734064683</v>
      </c>
    </row>
    <row r="35" spans="1:11" x14ac:dyDescent="0.3">
      <c r="A35" s="25" t="s">
        <v>356</v>
      </c>
      <c r="B35" s="55"/>
      <c r="C35" s="358">
        <f>'4b'!C56+'4b'!C65+'4b'!C74+'4b'!C83+'4b'!C92+'4b'!C101+'4b'!C115+'4b'!C124+'4b'!C133</f>
        <v>8434857.249255009</v>
      </c>
      <c r="D35" s="360">
        <f>'4b'!D56+'4b'!D65+'4b'!D74+'4b'!D83+'4b'!D92+'4b'!D101+'4b'!D115+'4b'!D124+'4b'!D133</f>
        <v>8461525.1118617672</v>
      </c>
      <c r="E35" s="360">
        <f>'4b'!E56+'4b'!E65+'4b'!E74+'4b'!E83+'4b'!E92+'4b'!E101+'4b'!E115+'4b'!E124+'4b'!E133</f>
        <v>8357256.7627165718</v>
      </c>
      <c r="F35" s="360">
        <f>'4b'!F56+'4b'!F65+'4b'!F74+'4b'!F83+'4b'!F92+'4b'!F101+'4b'!F115+'4b'!F124+'4b'!F133</f>
        <v>8580392.9167786781</v>
      </c>
      <c r="G35" s="360">
        <f>'4b'!G56+'4b'!G65+'4b'!G74+'4b'!G83+'4b'!G92+'4b'!G101+'4b'!G115+'4b'!G124+'4b'!G133</f>
        <v>8311515.7681798721</v>
      </c>
      <c r="H35" s="359">
        <f>'4b'!H56+'4b'!H65+'4b'!H74+'4b'!H83+'4b'!H92+'4b'!H101+'4b'!H115+'4b'!H124+'4b'!H133</f>
        <v>8855380.213389175</v>
      </c>
      <c r="I35" s="10">
        <f t="shared" si="19"/>
        <v>8500154.6703635119</v>
      </c>
      <c r="J35" s="56">
        <f t="shared" si="20"/>
        <v>51000928.022181071</v>
      </c>
    </row>
    <row r="36" spans="1:11" x14ac:dyDescent="0.3">
      <c r="A36" s="25" t="s">
        <v>332</v>
      </c>
      <c r="B36" s="55"/>
      <c r="C36" s="358">
        <f>'4b'!C61+'4b'!C70+'4b'!C79+'4b'!C88+'4b'!C97+'4b'!C106+'4b'!C120+'4b'!C129+'4b'!C138</f>
        <v>0</v>
      </c>
      <c r="D36" s="360">
        <f>'4b'!D61+'4b'!D70+'4b'!D79+'4b'!D88+'4b'!D97+'4b'!D106+'4b'!D120+'4b'!D129+'4b'!D138</f>
        <v>0</v>
      </c>
      <c r="E36" s="360">
        <f>'4b'!E61+'4b'!E70+'4b'!E79+'4b'!E88+'4b'!E97+'4b'!E106+'4b'!E120+'4b'!E129+'4b'!E138</f>
        <v>0</v>
      </c>
      <c r="F36" s="360">
        <f>'4b'!F61+'4b'!F70+'4b'!F79+'4b'!F88+'4b'!F97+'4b'!F106+'4b'!F120+'4b'!F129+'4b'!F138</f>
        <v>0</v>
      </c>
      <c r="G36" s="360">
        <f>'4b'!G61+'4b'!G70+'4b'!G79+'4b'!G88+'4b'!G97+'4b'!G106+'4b'!G120+'4b'!G129+'4b'!G138</f>
        <v>0</v>
      </c>
      <c r="H36" s="359">
        <f>'4b'!H61+'4b'!H70+'4b'!H79+'4b'!H88+'4b'!H97+'4b'!H106+'4b'!H120+'4b'!H129+'4b'!H138</f>
        <v>0</v>
      </c>
      <c r="I36" s="39">
        <f t="shared" si="19"/>
        <v>0</v>
      </c>
      <c r="J36" s="56">
        <f t="shared" si="20"/>
        <v>0</v>
      </c>
    </row>
    <row r="37" spans="1:11" x14ac:dyDescent="0.3">
      <c r="A37" s="25" t="s">
        <v>463</v>
      </c>
      <c r="B37" s="55"/>
      <c r="C37" s="358">
        <f>'4b'!C62+'4b'!C71+'4b'!C80+'4b'!C89+'4b'!C98+'4b'!C107+'4b'!C121+'4b'!C130+'4b'!C139</f>
        <v>0</v>
      </c>
      <c r="D37" s="360">
        <f>'4b'!D62+'4b'!D71+'4b'!D80+'4b'!D89+'4b'!D98+'4b'!D107+'4b'!D121+'4b'!D130+'4b'!D139</f>
        <v>0</v>
      </c>
      <c r="E37" s="360">
        <f>'4b'!E62+'4b'!E71+'4b'!E80+'4b'!E89+'4b'!E98+'4b'!E107+'4b'!E121+'4b'!E130+'4b'!E139</f>
        <v>0</v>
      </c>
      <c r="F37" s="360">
        <f>'4b'!F62+'4b'!F71+'4b'!F80+'4b'!F89+'4b'!F98+'4b'!F107+'4b'!F121+'4b'!F130+'4b'!F139</f>
        <v>0</v>
      </c>
      <c r="G37" s="360">
        <f>'4b'!G62+'4b'!G71+'4b'!G80+'4b'!G89+'4b'!G98+'4b'!G107+'4b'!G121+'4b'!G130+'4b'!G139</f>
        <v>0</v>
      </c>
      <c r="H37" s="359">
        <f>'4b'!H62+'4b'!H71+'4b'!H80+'4b'!H89+'4b'!H98+'4b'!H107+'4b'!H121+'4b'!H130+'4b'!H139</f>
        <v>0</v>
      </c>
      <c r="I37" s="39">
        <f t="shared" ref="I37" si="22">IFERROR(AVERAGE(C37:H37),0)</f>
        <v>0</v>
      </c>
      <c r="J37" s="56">
        <f t="shared" ref="J37" si="23">SUM(C37:H37)</f>
        <v>0</v>
      </c>
    </row>
    <row r="38" spans="1:11" x14ac:dyDescent="0.3">
      <c r="A38" s="25" t="s">
        <v>360</v>
      </c>
      <c r="B38" s="55"/>
      <c r="C38" s="358">
        <f>'4b'!C63+'4b'!C72+'4b'!C81+'4b'!C90+'4b'!C99+'4b'!C108+'4b'!C122+'4b'!C131+'4b'!C140</f>
        <v>84897.737443150312</v>
      </c>
      <c r="D38" s="360">
        <f>'4b'!D63+'4b'!D72+'4b'!D81+'4b'!D90+'4b'!D99+'4b'!D108+'4b'!D122+'4b'!D131+'4b'!D140</f>
        <v>77040.930323229957</v>
      </c>
      <c r="E38" s="360">
        <f>'4b'!E63+'4b'!E72+'4b'!E81+'4b'!E90+'4b'!E99+'4b'!E108+'4b'!E122+'4b'!E131+'4b'!E140</f>
        <v>83351.397083667238</v>
      </c>
      <c r="F38" s="360">
        <f>'4b'!F63+'4b'!F72+'4b'!F81+'4b'!F90+'4b'!F99+'4b'!F108+'4b'!F122+'4b'!F131+'4b'!F140</f>
        <v>77732.113899092801</v>
      </c>
      <c r="G38" s="360">
        <f>'4b'!G63+'4b'!G72+'4b'!G81+'4b'!G90+'4b'!G99+'4b'!G108+'4b'!G122+'4b'!G131+'4b'!G140</f>
        <v>85075.526093974258</v>
      </c>
      <c r="H38" s="359">
        <f>'4b'!H63+'4b'!H72+'4b'!H81+'4b'!H90+'4b'!H99+'4b'!H108+'4b'!H122+'4b'!H131+'4b'!H140</f>
        <v>91295.807040501124</v>
      </c>
      <c r="I38" s="39">
        <f t="shared" si="19"/>
        <v>83232.251980602625</v>
      </c>
      <c r="J38" s="56">
        <f t="shared" si="20"/>
        <v>499393.51188361575</v>
      </c>
    </row>
    <row r="39" spans="1:11" s="171" customFormat="1" x14ac:dyDescent="0.3">
      <c r="A39" s="169" t="s">
        <v>301</v>
      </c>
      <c r="B39" s="361"/>
      <c r="C39" s="362">
        <f>'4d'!C23</f>
        <v>85493.700000000012</v>
      </c>
      <c r="D39" s="363">
        <f>'4d'!D23</f>
        <v>85493.700000000012</v>
      </c>
      <c r="E39" s="363">
        <f>'4d'!E23</f>
        <v>85493.700000000012</v>
      </c>
      <c r="F39" s="363">
        <f>'4d'!F23</f>
        <v>85493.700000000012</v>
      </c>
      <c r="G39" s="363">
        <f>'4d'!G23</f>
        <v>85493.700000000012</v>
      </c>
      <c r="H39" s="364">
        <f>'4d'!H23</f>
        <v>85493.700000000012</v>
      </c>
      <c r="I39" s="355">
        <f t="shared" si="19"/>
        <v>85493.700000000012</v>
      </c>
      <c r="J39" s="365">
        <f t="shared" si="20"/>
        <v>512962.20000000007</v>
      </c>
      <c r="K39" s="356"/>
    </row>
    <row r="40" spans="1:11" x14ac:dyDescent="0.3">
      <c r="A40" s="50" t="s">
        <v>12</v>
      </c>
      <c r="B40" s="53"/>
      <c r="C40" s="357">
        <f>SUM(C41:C45)</f>
        <v>19014650.828848343</v>
      </c>
      <c r="D40" s="293">
        <f t="shared" ref="D40:H40" si="24">SUM(D41:D45)</f>
        <v>19143713.989747744</v>
      </c>
      <c r="E40" s="293">
        <f t="shared" si="24"/>
        <v>19205958.256957807</v>
      </c>
      <c r="F40" s="293">
        <f t="shared" si="24"/>
        <v>19361572.256619021</v>
      </c>
      <c r="G40" s="293">
        <f t="shared" si="24"/>
        <v>19485391.508636307</v>
      </c>
      <c r="H40" s="292">
        <f t="shared" si="24"/>
        <v>19608460.468564339</v>
      </c>
      <c r="I40" s="54">
        <f t="shared" si="19"/>
        <v>19303291.218228925</v>
      </c>
      <c r="J40" s="54">
        <f t="shared" si="20"/>
        <v>115819747.30937356</v>
      </c>
    </row>
    <row r="41" spans="1:11" x14ac:dyDescent="0.3">
      <c r="A41" s="25" t="s">
        <v>356</v>
      </c>
      <c r="B41" s="55"/>
      <c r="C41" s="358">
        <f>'4b'!C190+'4b'!C191+'4b'!C192+'4b'!C193</f>
        <v>18336535.446532976</v>
      </c>
      <c r="D41" s="360">
        <f>'4b'!D190+'4b'!D191+'4b'!D192+'4b'!D193</f>
        <v>18460453.075642295</v>
      </c>
      <c r="E41" s="360">
        <f>'4b'!E190+'4b'!E191+'4b'!E192+'4b'!E193</f>
        <v>18520443.573695958</v>
      </c>
      <c r="F41" s="360">
        <f>'4b'!F190+'4b'!F191+'4b'!F192+'4b'!F193</f>
        <v>18670478.18609925</v>
      </c>
      <c r="G41" s="360">
        <f>'4b'!G190+'4b'!G191+'4b'!G192+'4b'!G193</f>
        <v>18788612.299807925</v>
      </c>
      <c r="H41" s="359">
        <f>'4b'!H190+'4b'!H191+'4b'!H192+'4b'!H193</f>
        <v>18911275.4565752</v>
      </c>
      <c r="I41" s="10">
        <f t="shared" si="19"/>
        <v>18614633.006392267</v>
      </c>
      <c r="J41" s="56">
        <f t="shared" si="20"/>
        <v>111687798.03835359</v>
      </c>
    </row>
    <row r="42" spans="1:11" x14ac:dyDescent="0.3">
      <c r="A42" s="25" t="s">
        <v>332</v>
      </c>
      <c r="B42" s="55"/>
      <c r="C42" s="358">
        <f>'4b'!C194</f>
        <v>0</v>
      </c>
      <c r="D42" s="360">
        <f>'4b'!D194</f>
        <v>0</v>
      </c>
      <c r="E42" s="360">
        <f>'4b'!E194</f>
        <v>0</v>
      </c>
      <c r="F42" s="360">
        <f>'4b'!F194</f>
        <v>0</v>
      </c>
      <c r="G42" s="360">
        <f>'4b'!G194</f>
        <v>0</v>
      </c>
      <c r="H42" s="359">
        <f>'4b'!H194</f>
        <v>0</v>
      </c>
      <c r="I42" s="39">
        <f t="shared" si="19"/>
        <v>0</v>
      </c>
      <c r="J42" s="56">
        <f t="shared" si="20"/>
        <v>0</v>
      </c>
    </row>
    <row r="43" spans="1:11" x14ac:dyDescent="0.3">
      <c r="A43" s="25" t="s">
        <v>463</v>
      </c>
      <c r="B43" s="55"/>
      <c r="C43" s="358">
        <f>'4b'!C195</f>
        <v>0</v>
      </c>
      <c r="D43" s="360">
        <f>'4b'!D195</f>
        <v>0</v>
      </c>
      <c r="E43" s="360">
        <f>'4b'!E195</f>
        <v>0</v>
      </c>
      <c r="F43" s="360">
        <f>'4b'!F195</f>
        <v>0</v>
      </c>
      <c r="G43" s="360">
        <f>'4b'!G195</f>
        <v>0</v>
      </c>
      <c r="H43" s="359">
        <f>'4b'!H195</f>
        <v>0</v>
      </c>
      <c r="I43" s="39">
        <f t="shared" ref="I43" si="25">IFERROR(AVERAGE(C43:H43),0)</f>
        <v>0</v>
      </c>
      <c r="J43" s="56">
        <f t="shared" ref="J43" si="26">SUM(C43:H43)</f>
        <v>0</v>
      </c>
    </row>
    <row r="44" spans="1:11" x14ac:dyDescent="0.3">
      <c r="A44" s="25" t="s">
        <v>360</v>
      </c>
      <c r="B44" s="55"/>
      <c r="C44" s="358">
        <f>'4b'!C196</f>
        <v>634531.23317174788</v>
      </c>
      <c r="D44" s="360">
        <f>'4b'!D196</f>
        <v>638819.37180293736</v>
      </c>
      <c r="E44" s="360">
        <f>'4b'!E196</f>
        <v>640895.32801721641</v>
      </c>
      <c r="F44" s="360">
        <f>'4b'!F196</f>
        <v>646087.23833769665</v>
      </c>
      <c r="G44" s="360">
        <f>'4b'!G196</f>
        <v>650175.2398617462</v>
      </c>
      <c r="H44" s="359">
        <f>'4b'!H196</f>
        <v>654419.96779059817</v>
      </c>
      <c r="I44" s="39">
        <f t="shared" si="19"/>
        <v>644154.72983032383</v>
      </c>
      <c r="J44" s="56">
        <f t="shared" si="20"/>
        <v>3864928.3789819428</v>
      </c>
    </row>
    <row r="45" spans="1:11" s="171" customFormat="1" x14ac:dyDescent="0.3">
      <c r="A45" s="169" t="s">
        <v>85</v>
      </c>
      <c r="B45" s="361"/>
      <c r="C45" s="362">
        <f>'4c'!C25</f>
        <v>43584.149143619899</v>
      </c>
      <c r="D45" s="363">
        <f>'4c'!D25</f>
        <v>44441.542302511269</v>
      </c>
      <c r="E45" s="363">
        <f>'4c'!E25</f>
        <v>44619.355244632978</v>
      </c>
      <c r="F45" s="363">
        <f>'4c'!F25</f>
        <v>45006.83218207617</v>
      </c>
      <c r="G45" s="363">
        <f>'4c'!G25</f>
        <v>46603.968966638422</v>
      </c>
      <c r="H45" s="364">
        <f>'4c'!H25</f>
        <v>42765.044198540454</v>
      </c>
      <c r="I45" s="355">
        <f t="shared" si="19"/>
        <v>44503.482006336533</v>
      </c>
      <c r="J45" s="365">
        <f t="shared" si="20"/>
        <v>267020.8920380192</v>
      </c>
      <c r="K45" s="356"/>
    </row>
    <row r="46" spans="1:11" x14ac:dyDescent="0.3">
      <c r="A46" s="50" t="s">
        <v>303</v>
      </c>
      <c r="B46" s="53"/>
      <c r="C46" s="357">
        <f>SUM(C47:C48)</f>
        <v>251894.97</v>
      </c>
      <c r="D46" s="293">
        <f t="shared" ref="D46:H46" si="27">SUM(D47:D48)</f>
        <v>250522.47</v>
      </c>
      <c r="E46" s="293">
        <f t="shared" si="27"/>
        <v>250184.97</v>
      </c>
      <c r="F46" s="293">
        <f t="shared" si="27"/>
        <v>250584.97</v>
      </c>
      <c r="G46" s="293">
        <f t="shared" si="27"/>
        <v>253963.97</v>
      </c>
      <c r="H46" s="292">
        <f t="shared" si="27"/>
        <v>252888.97</v>
      </c>
      <c r="I46" s="54">
        <f t="shared" si="19"/>
        <v>251673.38666666669</v>
      </c>
      <c r="J46" s="54">
        <f t="shared" si="20"/>
        <v>1510040.32</v>
      </c>
    </row>
    <row r="47" spans="1:11" x14ac:dyDescent="0.3">
      <c r="A47" s="25" t="s">
        <v>17</v>
      </c>
      <c r="B47" s="55"/>
      <c r="C47" s="358">
        <f>'4b'!C141</f>
        <v>240000</v>
      </c>
      <c r="D47" s="360">
        <f>'4b'!D141</f>
        <v>240000</v>
      </c>
      <c r="E47" s="360">
        <f>'4b'!E141</f>
        <v>240000</v>
      </c>
      <c r="F47" s="360">
        <f>'4b'!F141</f>
        <v>240000</v>
      </c>
      <c r="G47" s="360">
        <f>'4b'!G141</f>
        <v>240000</v>
      </c>
      <c r="H47" s="359">
        <f>'4b'!H141</f>
        <v>240000</v>
      </c>
      <c r="I47" s="39">
        <f>IFERROR(AVERAGE(C47:H47),0)</f>
        <v>240000</v>
      </c>
      <c r="J47" s="56">
        <f t="shared" si="20"/>
        <v>1440000</v>
      </c>
    </row>
    <row r="48" spans="1:11" s="171" customFormat="1" x14ac:dyDescent="0.3">
      <c r="A48" s="169" t="s">
        <v>85</v>
      </c>
      <c r="B48" s="361"/>
      <c r="C48" s="362">
        <f>'4c'!C19</f>
        <v>11894.970000000001</v>
      </c>
      <c r="D48" s="363">
        <f>'4c'!D19</f>
        <v>10522.470000000001</v>
      </c>
      <c r="E48" s="363">
        <f>'4c'!E19</f>
        <v>10184.970000000001</v>
      </c>
      <c r="F48" s="363">
        <f>'4c'!F19</f>
        <v>10584.970000000001</v>
      </c>
      <c r="G48" s="363">
        <f>'4c'!G19</f>
        <v>13963.970000000001</v>
      </c>
      <c r="H48" s="364">
        <f>'4c'!H19</f>
        <v>12888.970000000001</v>
      </c>
      <c r="I48" s="355">
        <f t="shared" si="19"/>
        <v>11673.386666666667</v>
      </c>
      <c r="J48" s="365">
        <f t="shared" si="20"/>
        <v>70040.320000000007</v>
      </c>
      <c r="K48" s="356"/>
    </row>
    <row r="49" spans="1:11" s="5" customFormat="1" x14ac:dyDescent="0.3">
      <c r="A49" s="18" t="s">
        <v>8</v>
      </c>
      <c r="B49" s="57"/>
      <c r="C49" s="60">
        <f>C34+C40+C46</f>
        <v>27871794.485546499</v>
      </c>
      <c r="D49" s="19">
        <f t="shared" ref="D49:H49" si="28">D34+D40+D46</f>
        <v>28018296.201932739</v>
      </c>
      <c r="E49" s="19">
        <f t="shared" si="28"/>
        <v>27982245.086758044</v>
      </c>
      <c r="F49" s="19">
        <f t="shared" si="28"/>
        <v>28355775.957296789</v>
      </c>
      <c r="G49" s="19">
        <f t="shared" si="28"/>
        <v>28221440.472910151</v>
      </c>
      <c r="H49" s="35">
        <f t="shared" si="28"/>
        <v>28893519.158994012</v>
      </c>
      <c r="I49" s="20">
        <f t="shared" si="19"/>
        <v>28223845.227239709</v>
      </c>
      <c r="J49" s="20">
        <f t="shared" si="20"/>
        <v>169343071.36343825</v>
      </c>
      <c r="K49" s="42"/>
    </row>
    <row r="51" spans="1:11" x14ac:dyDescent="0.3">
      <c r="A51" s="29"/>
      <c r="B51" s="29"/>
      <c r="C51" s="367" t="str">
        <f>IF(C49=C30,"","FAUX")</f>
        <v/>
      </c>
      <c r="D51" s="367" t="str">
        <f t="shared" ref="D51:J51" si="29">IF(D49=D30,"","FAUX")</f>
        <v/>
      </c>
      <c r="E51" s="367" t="str">
        <f>IF(E49=E30,"","FAUX")</f>
        <v/>
      </c>
      <c r="F51" s="367" t="str">
        <f t="shared" si="29"/>
        <v/>
      </c>
      <c r="G51" s="367" t="str">
        <f t="shared" si="29"/>
        <v/>
      </c>
      <c r="H51" s="367" t="str">
        <f t="shared" si="29"/>
        <v/>
      </c>
      <c r="I51" s="366" t="str">
        <f>IF(I49=I30,"","FAUX")</f>
        <v/>
      </c>
      <c r="J51" s="366" t="str">
        <f t="shared" si="29"/>
        <v/>
      </c>
    </row>
    <row r="52" spans="1:11" x14ac:dyDescent="0.3">
      <c r="E52" s="245"/>
      <c r="F52" s="245"/>
      <c r="G52" s="245"/>
      <c r="H52" s="245"/>
    </row>
    <row r="55" spans="1:11" x14ac:dyDescent="0.3">
      <c r="E55" s="245"/>
    </row>
  </sheetData>
  <mergeCells count="12">
    <mergeCell ref="A1:J1"/>
    <mergeCell ref="B10:B11"/>
    <mergeCell ref="A10:A11"/>
    <mergeCell ref="A32:A33"/>
    <mergeCell ref="B32:B33"/>
    <mergeCell ref="B13:B14"/>
    <mergeCell ref="B16:B17"/>
    <mergeCell ref="B25:B26"/>
    <mergeCell ref="A3:A4"/>
    <mergeCell ref="B3:B4"/>
    <mergeCell ref="B22:B23"/>
    <mergeCell ref="B19:B20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&amp;L&amp;F&amp;R&amp;A</oddHeader>
    <oddFooter>&amp;L&amp;D&amp;C&amp;P/&amp;N&amp;R&amp;T</oddFooter>
  </headerFooter>
  <ignoredErrors>
    <ignoredError sqref="C8:H8 C12:H12 C24:H24 C34:H34 C4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</sheetPr>
  <dimension ref="A1:Z493"/>
  <sheetViews>
    <sheetView showGridLines="0" view="pageBreakPreview" zoomScale="85" zoomScaleNormal="95" zoomScaleSheetLayoutView="85" workbookViewId="0">
      <selection sqref="A1:J1"/>
    </sheetView>
  </sheetViews>
  <sheetFormatPr baseColWidth="10" defaultColWidth="11.26953125" defaultRowHeight="13" x14ac:dyDescent="0.3"/>
  <cols>
    <col min="1" max="1" width="47.81640625" style="2" bestFit="1" customWidth="1"/>
    <col min="2" max="2" width="10.26953125" style="2" customWidth="1"/>
    <col min="3" max="3" width="10.453125" style="11" customWidth="1"/>
    <col min="4" max="9" width="10.26953125" style="11" customWidth="1"/>
    <col min="10" max="10" width="10.81640625" style="11" bestFit="1" customWidth="1"/>
    <col min="11" max="11" width="6.7265625" style="11" customWidth="1"/>
    <col min="12" max="12" width="20.81640625" style="11" bestFit="1" customWidth="1"/>
    <col min="13" max="13" width="6.7265625" style="11" customWidth="1"/>
    <col min="14" max="19" width="11.26953125" style="2" customWidth="1"/>
    <col min="20" max="27" width="11.26953125" style="2"/>
    <col min="28" max="28" width="10.7265625" style="2" customWidth="1"/>
    <col min="29" max="16384" width="11.26953125" style="2"/>
  </cols>
  <sheetData>
    <row r="1" spans="1:26" ht="30" customHeight="1" x14ac:dyDescent="0.3">
      <c r="A1" s="680" t="s">
        <v>527</v>
      </c>
      <c r="B1" s="689"/>
      <c r="C1" s="689"/>
      <c r="D1" s="689"/>
      <c r="E1" s="689"/>
      <c r="F1" s="689"/>
      <c r="G1" s="689"/>
      <c r="H1" s="689"/>
      <c r="I1" s="689"/>
      <c r="J1" s="690"/>
      <c r="K1" s="211"/>
      <c r="L1" s="192" t="s">
        <v>304</v>
      </c>
      <c r="M1" s="211"/>
    </row>
    <row r="2" spans="1:26" ht="12.75" customHeigh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6" x14ac:dyDescent="0.3">
      <c r="A3" s="21" t="s">
        <v>77</v>
      </c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4"/>
    </row>
    <row r="4" spans="1:26" x14ac:dyDescent="0.3">
      <c r="F4" s="2"/>
      <c r="G4" s="2"/>
      <c r="H4" s="2"/>
      <c r="I4" s="2"/>
      <c r="J4" s="2"/>
      <c r="K4" s="2"/>
      <c r="L4" s="2"/>
      <c r="M4" s="2"/>
    </row>
    <row r="5" spans="1:26" x14ac:dyDescent="0.3">
      <c r="A5" s="42" t="s">
        <v>74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26" x14ac:dyDescent="0.3">
      <c r="F6" s="2"/>
      <c r="G6" s="2"/>
      <c r="H6" s="2"/>
      <c r="I6" s="2"/>
      <c r="J6" s="2"/>
      <c r="K6" s="2"/>
      <c r="L6" s="2"/>
      <c r="M6" s="2"/>
      <c r="P6" s="31"/>
      <c r="Q6" s="31"/>
      <c r="R6" s="31"/>
      <c r="S6" s="31"/>
    </row>
    <row r="7" spans="1:26" ht="27.65" customHeight="1" x14ac:dyDescent="0.3">
      <c r="A7" s="691" t="s">
        <v>346</v>
      </c>
      <c r="B7" s="678"/>
      <c r="C7" s="3">
        <f>Annee</f>
        <v>2024</v>
      </c>
      <c r="D7" s="291">
        <f>C7+1</f>
        <v>2025</v>
      </c>
      <c r="E7" s="291">
        <f t="shared" ref="E7:G7" si="0">D7+1</f>
        <v>2026</v>
      </c>
      <c r="F7" s="291">
        <f t="shared" si="0"/>
        <v>2027</v>
      </c>
      <c r="G7" s="291">
        <f t="shared" si="0"/>
        <v>2028</v>
      </c>
      <c r="H7" s="295">
        <f>G7+1</f>
        <v>2029</v>
      </c>
      <c r="I7" s="179" t="s">
        <v>271</v>
      </c>
      <c r="J7" s="4" t="s">
        <v>62</v>
      </c>
      <c r="L7" s="683" t="s">
        <v>305</v>
      </c>
      <c r="P7" s="6"/>
      <c r="Q7" s="6"/>
      <c r="R7" s="6"/>
      <c r="S7" s="6"/>
    </row>
    <row r="8" spans="1:26" x14ac:dyDescent="0.3">
      <c r="A8" s="692"/>
      <c r="B8" s="679"/>
      <c r="C8" s="77">
        <v>12</v>
      </c>
      <c r="D8" s="77">
        <v>12</v>
      </c>
      <c r="E8" s="77">
        <v>12</v>
      </c>
      <c r="F8" s="77">
        <v>12</v>
      </c>
      <c r="G8" s="77">
        <v>12</v>
      </c>
      <c r="H8" s="77">
        <v>12</v>
      </c>
      <c r="I8" s="78">
        <f t="shared" ref="I8:I9" si="1">IFERROR(AVERAGE(C8:H8),0)</f>
        <v>12</v>
      </c>
      <c r="J8" s="78">
        <f t="shared" ref="J8" si="2">SUM(C8:H8)</f>
        <v>72</v>
      </c>
      <c r="K8" s="2"/>
      <c r="L8" s="699"/>
      <c r="M8" s="2"/>
      <c r="P8" s="11"/>
      <c r="Q8" s="11"/>
      <c r="R8" s="11"/>
      <c r="S8" s="11"/>
      <c r="W8" s="11"/>
      <c r="Z8" s="11"/>
    </row>
    <row r="9" spans="1:26" x14ac:dyDescent="0.3">
      <c r="A9" s="115" t="s">
        <v>298</v>
      </c>
      <c r="B9" s="53"/>
      <c r="C9" s="223">
        <f>C10+C15+C20+C25+C30+C35</f>
        <v>7201048.1230001869</v>
      </c>
      <c r="D9" s="221">
        <f t="shared" ref="D9:H9" si="3">D10+D15+D20+D25+D30+D35</f>
        <v>7201048.1230001831</v>
      </c>
      <c r="E9" s="221">
        <f t="shared" si="3"/>
        <v>7201048.1230001887</v>
      </c>
      <c r="F9" s="221">
        <f t="shared" si="3"/>
        <v>7201048.1230001841</v>
      </c>
      <c r="G9" s="221">
        <f t="shared" si="3"/>
        <v>7201048.1230001859</v>
      </c>
      <c r="H9" s="222">
        <f t="shared" si="3"/>
        <v>7201048.1230001906</v>
      </c>
      <c r="I9" s="301">
        <f t="shared" si="1"/>
        <v>7201048.1230001869</v>
      </c>
      <c r="J9" s="301">
        <f>SUM(C9:H9)</f>
        <v>43206288.738001123</v>
      </c>
      <c r="K9" s="2"/>
      <c r="L9" s="195"/>
      <c r="M9" s="2"/>
      <c r="P9" s="11"/>
      <c r="Q9" s="11"/>
      <c r="R9" s="11"/>
      <c r="S9" s="11"/>
      <c r="W9" s="6"/>
      <c r="Z9" s="6"/>
    </row>
    <row r="10" spans="1:26" x14ac:dyDescent="0.3">
      <c r="A10" s="116" t="s">
        <v>273</v>
      </c>
      <c r="B10" s="313"/>
      <c r="C10" s="294">
        <f>SUM(C11:C14)</f>
        <v>4341757.2310002577</v>
      </c>
      <c r="D10" s="297">
        <f>SUM(D11:D14)</f>
        <v>4341757.2310002539</v>
      </c>
      <c r="E10" s="297">
        <f t="shared" ref="E10:H10" si="4">SUM(E11:E14)</f>
        <v>4341757.2310002595</v>
      </c>
      <c r="F10" s="297">
        <f t="shared" si="4"/>
        <v>4341757.2310002539</v>
      </c>
      <c r="G10" s="297">
        <f t="shared" si="4"/>
        <v>4341757.2310002558</v>
      </c>
      <c r="H10" s="296">
        <f t="shared" si="4"/>
        <v>4341757.2310002614</v>
      </c>
      <c r="I10" s="62">
        <f t="shared" ref="I10" si="5">IFERROR(AVERAGE(C10:H10),0)</f>
        <v>4341757.2310002567</v>
      </c>
      <c r="J10" s="62">
        <f>SUM(C10:H10)</f>
        <v>26050543.386001542</v>
      </c>
      <c r="K10" s="2"/>
      <c r="L10" s="187"/>
      <c r="M10" s="2"/>
      <c r="P10" s="11"/>
      <c r="Q10" s="11"/>
      <c r="R10" s="11"/>
      <c r="S10" s="11"/>
    </row>
    <row r="11" spans="1:26" x14ac:dyDescent="0.3">
      <c r="A11" s="36" t="s">
        <v>491</v>
      </c>
      <c r="B11" s="37"/>
      <c r="C11" s="324">
        <v>2176324.5736190276</v>
      </c>
      <c r="D11" s="325">
        <v>1520226.6803553225</v>
      </c>
      <c r="E11" s="325">
        <v>1143754.3432749859</v>
      </c>
      <c r="F11" s="325">
        <v>853107.68527343299</v>
      </c>
      <c r="G11" s="325">
        <v>585804.25053271651</v>
      </c>
      <c r="H11" s="326">
        <v>314096.60528410948</v>
      </c>
      <c r="I11" s="10">
        <f>IFERROR(AVERAGE(C11:H11),0)</f>
        <v>1098885.6897232661</v>
      </c>
      <c r="J11" s="39">
        <f>SUM(C11:H11)</f>
        <v>6593314.1383395959</v>
      </c>
      <c r="K11" s="2"/>
      <c r="L11" s="186"/>
      <c r="M11" s="2"/>
      <c r="P11" s="11"/>
      <c r="Q11" s="11"/>
      <c r="R11" s="11"/>
      <c r="S11" s="11"/>
      <c r="W11" s="11"/>
      <c r="Z11" s="11"/>
    </row>
    <row r="12" spans="1:26" ht="13.15" customHeight="1" x14ac:dyDescent="0.3">
      <c r="A12" s="36" t="s">
        <v>492</v>
      </c>
      <c r="B12" s="37"/>
      <c r="C12" s="324">
        <v>1114996.5407977989</v>
      </c>
      <c r="D12" s="324">
        <v>1115114.3835516034</v>
      </c>
      <c r="E12" s="324">
        <v>1115174.0499635458</v>
      </c>
      <c r="F12" s="324">
        <v>1135017.9108521328</v>
      </c>
      <c r="G12" s="324">
        <v>1149182.0903318906</v>
      </c>
      <c r="H12" s="326">
        <v>1142489.2043337433</v>
      </c>
      <c r="I12" s="39">
        <f>IFERROR(AVERAGE(C12:H12),0)</f>
        <v>1128662.3633051191</v>
      </c>
      <c r="J12" s="39">
        <f>SUM(C12:H12)</f>
        <v>6771974.1798307141</v>
      </c>
      <c r="K12" s="2"/>
      <c r="L12" s="187"/>
      <c r="M12" s="2"/>
      <c r="P12" s="11"/>
      <c r="Q12" s="11"/>
      <c r="R12" s="11"/>
      <c r="S12" s="11"/>
      <c r="W12" s="11"/>
      <c r="Z12" s="11"/>
    </row>
    <row r="13" spans="1:26" x14ac:dyDescent="0.3">
      <c r="A13" s="36" t="s">
        <v>493</v>
      </c>
      <c r="B13" s="37"/>
      <c r="C13" s="324">
        <v>310415.86899999843</v>
      </c>
      <c r="D13" s="324">
        <v>310415.86899999843</v>
      </c>
      <c r="E13" s="324">
        <v>310415.86899999843</v>
      </c>
      <c r="F13" s="324">
        <v>310415.86899999843</v>
      </c>
      <c r="G13" s="324">
        <v>310415.86899999843</v>
      </c>
      <c r="H13" s="326">
        <v>310415.86899999843</v>
      </c>
      <c r="I13" s="39">
        <f t="shared" ref="I13:I102" si="6">IFERROR(AVERAGE(C13:H13),0)</f>
        <v>310415.86899999849</v>
      </c>
      <c r="J13" s="39">
        <f t="shared" ref="J13:J102" si="7">SUM(C13:H13)</f>
        <v>1862495.2139999908</v>
      </c>
      <c r="K13" s="2"/>
      <c r="L13" s="187"/>
      <c r="M13" s="2"/>
      <c r="P13" s="11"/>
      <c r="Q13" s="11"/>
      <c r="R13" s="11"/>
      <c r="S13" s="11"/>
      <c r="W13" s="11"/>
      <c r="Z13" s="11"/>
    </row>
    <row r="14" spans="1:26" x14ac:dyDescent="0.3">
      <c r="A14" s="36" t="s">
        <v>494</v>
      </c>
      <c r="B14" s="37"/>
      <c r="C14" s="324">
        <v>740020.24758343305</v>
      </c>
      <c r="D14" s="324">
        <v>1396000.2980933301</v>
      </c>
      <c r="E14" s="324">
        <v>1772412.96876173</v>
      </c>
      <c r="F14" s="324">
        <v>2043215.7658746899</v>
      </c>
      <c r="G14" s="324">
        <v>2296355.0211356501</v>
      </c>
      <c r="H14" s="326">
        <v>2574755.55238241</v>
      </c>
      <c r="I14" s="39">
        <f t="shared" si="6"/>
        <v>1803793.3089718737</v>
      </c>
      <c r="J14" s="39">
        <f t="shared" si="7"/>
        <v>10822759.853831243</v>
      </c>
      <c r="K14" s="2"/>
      <c r="L14" s="187"/>
      <c r="M14" s="2"/>
      <c r="P14" s="11"/>
      <c r="Q14" s="11"/>
      <c r="R14" s="11"/>
      <c r="S14" s="11"/>
      <c r="W14" s="11"/>
      <c r="Z14" s="11"/>
    </row>
    <row r="15" spans="1:26" x14ac:dyDescent="0.3">
      <c r="A15" s="116" t="s">
        <v>495</v>
      </c>
      <c r="B15" s="313"/>
      <c r="C15" s="294">
        <f>SUM(C16:C19)</f>
        <v>2166898.6479999512</v>
      </c>
      <c r="D15" s="297">
        <f t="shared" ref="D15:H15" si="8">SUM(D16:D19)</f>
        <v>2166898.6479999512</v>
      </c>
      <c r="E15" s="297">
        <f t="shared" si="8"/>
        <v>2166898.6479999512</v>
      </c>
      <c r="F15" s="297">
        <f t="shared" si="8"/>
        <v>2166898.6479999512</v>
      </c>
      <c r="G15" s="297">
        <f t="shared" si="8"/>
        <v>2166898.6479999512</v>
      </c>
      <c r="H15" s="296">
        <f t="shared" si="8"/>
        <v>2166898.6479999512</v>
      </c>
      <c r="I15" s="62">
        <f t="shared" si="6"/>
        <v>2166898.6479999512</v>
      </c>
      <c r="J15" s="62">
        <f t="shared" si="7"/>
        <v>13001391.887999708</v>
      </c>
      <c r="K15" s="2"/>
      <c r="L15" s="195"/>
      <c r="M15" s="2"/>
      <c r="P15" s="11"/>
      <c r="Q15" s="11"/>
      <c r="R15" s="11"/>
      <c r="S15" s="11"/>
    </row>
    <row r="16" spans="1:26" x14ac:dyDescent="0.3">
      <c r="A16" s="36" t="s">
        <v>491</v>
      </c>
      <c r="B16" s="37"/>
      <c r="C16" s="324">
        <v>0</v>
      </c>
      <c r="D16" s="324">
        <v>0</v>
      </c>
      <c r="E16" s="324">
        <v>0</v>
      </c>
      <c r="F16" s="324">
        <v>0</v>
      </c>
      <c r="G16" s="324">
        <v>0</v>
      </c>
      <c r="H16" s="326">
        <v>0</v>
      </c>
      <c r="I16" s="39">
        <f t="shared" si="6"/>
        <v>0</v>
      </c>
      <c r="J16" s="39">
        <f t="shared" si="7"/>
        <v>0</v>
      </c>
      <c r="K16" s="2"/>
      <c r="L16" s="187"/>
      <c r="M16" s="2"/>
      <c r="P16" s="11"/>
      <c r="Q16" s="11"/>
      <c r="R16" s="11"/>
      <c r="S16" s="11"/>
      <c r="W16" s="11"/>
      <c r="Z16" s="11"/>
    </row>
    <row r="17" spans="1:26" x14ac:dyDescent="0.3">
      <c r="A17" s="36" t="s">
        <v>492</v>
      </c>
      <c r="B17" s="37"/>
      <c r="C17" s="324">
        <v>2166898.6479999512</v>
      </c>
      <c r="D17" s="324">
        <v>2166898.6479999512</v>
      </c>
      <c r="E17" s="324">
        <v>2166898.6479999512</v>
      </c>
      <c r="F17" s="324">
        <v>2166898.6479999512</v>
      </c>
      <c r="G17" s="324">
        <v>2166898.6479999512</v>
      </c>
      <c r="H17" s="326">
        <v>2166898.6479999512</v>
      </c>
      <c r="I17" s="39">
        <f t="shared" ref="I17" si="9">IFERROR(AVERAGE(C17:H17),0)</f>
        <v>2166898.6479999512</v>
      </c>
      <c r="J17" s="39">
        <f t="shared" ref="J17" si="10">SUM(C17:H17)</f>
        <v>13001391.887999708</v>
      </c>
      <c r="K17" s="2"/>
      <c r="L17" s="187"/>
      <c r="M17" s="2"/>
      <c r="W17" s="11"/>
      <c r="Z17" s="11"/>
    </row>
    <row r="18" spans="1:26" x14ac:dyDescent="0.3">
      <c r="A18" s="36" t="s">
        <v>493</v>
      </c>
      <c r="B18" s="37"/>
      <c r="C18" s="324">
        <v>0</v>
      </c>
      <c r="D18" s="324">
        <v>0</v>
      </c>
      <c r="E18" s="324">
        <v>0</v>
      </c>
      <c r="F18" s="324">
        <v>0</v>
      </c>
      <c r="G18" s="324">
        <v>0</v>
      </c>
      <c r="H18" s="326">
        <v>0</v>
      </c>
      <c r="I18" s="39">
        <f t="shared" si="6"/>
        <v>0</v>
      </c>
      <c r="J18" s="39">
        <f t="shared" si="7"/>
        <v>0</v>
      </c>
      <c r="K18" s="2"/>
      <c r="L18" s="187"/>
      <c r="M18" s="2"/>
      <c r="W18" s="11"/>
      <c r="Z18" s="11"/>
    </row>
    <row r="19" spans="1:26" x14ac:dyDescent="0.3">
      <c r="A19" s="36" t="s">
        <v>494</v>
      </c>
      <c r="B19" s="37"/>
      <c r="C19" s="327">
        <v>0</v>
      </c>
      <c r="D19" s="327">
        <v>0</v>
      </c>
      <c r="E19" s="327">
        <v>0</v>
      </c>
      <c r="F19" s="327">
        <v>0</v>
      </c>
      <c r="G19" s="327">
        <v>0</v>
      </c>
      <c r="H19" s="328">
        <v>0</v>
      </c>
      <c r="I19" s="39">
        <f t="shared" si="6"/>
        <v>0</v>
      </c>
      <c r="J19" s="39">
        <f t="shared" si="7"/>
        <v>0</v>
      </c>
      <c r="K19" s="2"/>
      <c r="L19" s="187"/>
      <c r="M19" s="2"/>
      <c r="W19" s="11"/>
      <c r="Z19" s="11"/>
    </row>
    <row r="20" spans="1:26" x14ac:dyDescent="0.3">
      <c r="A20" s="116" t="s">
        <v>496</v>
      </c>
      <c r="B20" s="313"/>
      <c r="C20" s="294">
        <f>SUM(C21:C24)</f>
        <v>0</v>
      </c>
      <c r="D20" s="297">
        <f t="shared" ref="D20:H20" si="11">SUM(D21:D24)</f>
        <v>0</v>
      </c>
      <c r="E20" s="297">
        <f t="shared" si="11"/>
        <v>0</v>
      </c>
      <c r="F20" s="297">
        <f t="shared" si="11"/>
        <v>0</v>
      </c>
      <c r="G20" s="297">
        <f t="shared" si="11"/>
        <v>0</v>
      </c>
      <c r="H20" s="296">
        <f t="shared" si="11"/>
        <v>0</v>
      </c>
      <c r="I20" s="62">
        <f t="shared" ref="I20:I29" si="12">IFERROR(AVERAGE(C20:H20),0)</f>
        <v>0</v>
      </c>
      <c r="J20" s="62">
        <f>SUM(C20:H20)</f>
        <v>0</v>
      </c>
      <c r="K20" s="2"/>
      <c r="L20" s="187"/>
      <c r="M20" s="2"/>
    </row>
    <row r="21" spans="1:26" x14ac:dyDescent="0.3">
      <c r="A21" s="36" t="s">
        <v>491</v>
      </c>
      <c r="B21" s="37"/>
      <c r="C21" s="324">
        <v>0</v>
      </c>
      <c r="D21" s="325">
        <v>0</v>
      </c>
      <c r="E21" s="325">
        <v>0</v>
      </c>
      <c r="F21" s="325">
        <v>0</v>
      </c>
      <c r="G21" s="325">
        <v>0</v>
      </c>
      <c r="H21" s="326">
        <v>0</v>
      </c>
      <c r="I21" s="10">
        <f t="shared" si="12"/>
        <v>0</v>
      </c>
      <c r="J21" s="39">
        <f t="shared" ref="J21:J29" si="13">SUM(C21:H21)</f>
        <v>0</v>
      </c>
      <c r="K21" s="2"/>
      <c r="L21" s="186"/>
      <c r="M21" s="2"/>
      <c r="W21" s="11"/>
      <c r="Z21" s="11"/>
    </row>
    <row r="22" spans="1:26" ht="13.15" customHeight="1" x14ac:dyDescent="0.3">
      <c r="A22" s="36" t="s">
        <v>492</v>
      </c>
      <c r="B22" s="37"/>
      <c r="C22" s="324">
        <v>0</v>
      </c>
      <c r="D22" s="324">
        <v>0</v>
      </c>
      <c r="E22" s="324">
        <v>0</v>
      </c>
      <c r="F22" s="324">
        <v>0</v>
      </c>
      <c r="G22" s="324">
        <v>0</v>
      </c>
      <c r="H22" s="326">
        <v>0</v>
      </c>
      <c r="I22" s="39">
        <f t="shared" si="12"/>
        <v>0</v>
      </c>
      <c r="J22" s="39">
        <f t="shared" si="13"/>
        <v>0</v>
      </c>
      <c r="K22" s="2"/>
      <c r="L22" s="187"/>
      <c r="M22" s="2"/>
      <c r="W22" s="11"/>
      <c r="Z22" s="11"/>
    </row>
    <row r="23" spans="1:26" x14ac:dyDescent="0.3">
      <c r="A23" s="36" t="s">
        <v>493</v>
      </c>
      <c r="B23" s="37"/>
      <c r="C23" s="324">
        <v>0</v>
      </c>
      <c r="D23" s="324">
        <v>0</v>
      </c>
      <c r="E23" s="324">
        <v>0</v>
      </c>
      <c r="F23" s="324">
        <v>0</v>
      </c>
      <c r="G23" s="324">
        <v>0</v>
      </c>
      <c r="H23" s="326">
        <v>0</v>
      </c>
      <c r="I23" s="39">
        <f t="shared" si="12"/>
        <v>0</v>
      </c>
      <c r="J23" s="39">
        <f t="shared" si="13"/>
        <v>0</v>
      </c>
      <c r="K23" s="2"/>
      <c r="L23" s="187"/>
      <c r="M23" s="2"/>
      <c r="W23" s="11"/>
      <c r="Z23" s="11"/>
    </row>
    <row r="24" spans="1:26" x14ac:dyDescent="0.3">
      <c r="A24" s="36" t="s">
        <v>494</v>
      </c>
      <c r="B24" s="37"/>
      <c r="C24" s="324">
        <v>0</v>
      </c>
      <c r="D24" s="324">
        <v>0</v>
      </c>
      <c r="E24" s="324">
        <v>0</v>
      </c>
      <c r="F24" s="324">
        <v>0</v>
      </c>
      <c r="G24" s="324">
        <v>0</v>
      </c>
      <c r="H24" s="326">
        <v>0</v>
      </c>
      <c r="I24" s="39">
        <f t="shared" si="12"/>
        <v>0</v>
      </c>
      <c r="J24" s="39">
        <f t="shared" si="13"/>
        <v>0</v>
      </c>
      <c r="K24" s="2"/>
      <c r="L24" s="187"/>
      <c r="M24" s="2"/>
      <c r="P24" s="6"/>
      <c r="Q24" s="6"/>
      <c r="R24" s="6"/>
      <c r="S24" s="6"/>
      <c r="W24" s="11"/>
      <c r="Z24" s="11"/>
    </row>
    <row r="25" spans="1:26" x14ac:dyDescent="0.3">
      <c r="A25" s="116" t="s">
        <v>272</v>
      </c>
      <c r="B25" s="313"/>
      <c r="C25" s="294">
        <f>SUM(C26:C29)</f>
        <v>146411.55000000002</v>
      </c>
      <c r="D25" s="297">
        <f t="shared" ref="D25:H25" si="14">SUM(D26:D29)</f>
        <v>146411.55000000002</v>
      </c>
      <c r="E25" s="297">
        <f t="shared" si="14"/>
        <v>146411.55000000002</v>
      </c>
      <c r="F25" s="297">
        <f t="shared" si="14"/>
        <v>210398.3345104027</v>
      </c>
      <c r="G25" s="297">
        <f t="shared" si="14"/>
        <v>255607.68879999564</v>
      </c>
      <c r="H25" s="296">
        <f t="shared" si="14"/>
        <v>276924.46607851924</v>
      </c>
      <c r="I25" s="62">
        <f t="shared" si="12"/>
        <v>197027.52323148624</v>
      </c>
      <c r="J25" s="62">
        <f t="shared" si="13"/>
        <v>1182165.1393889175</v>
      </c>
      <c r="K25" s="2"/>
      <c r="L25" s="195"/>
      <c r="M25" s="2"/>
      <c r="P25" s="11"/>
      <c r="Q25" s="11"/>
      <c r="R25" s="11"/>
      <c r="S25" s="11"/>
    </row>
    <row r="26" spans="1:26" x14ac:dyDescent="0.3">
      <c r="A26" s="36" t="s">
        <v>491</v>
      </c>
      <c r="B26" s="37"/>
      <c r="C26" s="324">
        <v>146411.55000000002</v>
      </c>
      <c r="D26" s="324">
        <v>146411.55000000002</v>
      </c>
      <c r="E26" s="324">
        <v>146411.55000000002</v>
      </c>
      <c r="F26" s="324">
        <v>146411.55000000002</v>
      </c>
      <c r="G26" s="324">
        <v>146411.55000000002</v>
      </c>
      <c r="H26" s="326">
        <v>146411.55000000002</v>
      </c>
      <c r="I26" s="39">
        <f t="shared" si="12"/>
        <v>146411.55000000002</v>
      </c>
      <c r="J26" s="39">
        <f t="shared" si="13"/>
        <v>878469.30000000016</v>
      </c>
      <c r="K26" s="2"/>
      <c r="L26" s="187"/>
      <c r="M26" s="2"/>
      <c r="P26" s="11"/>
      <c r="Q26" s="11"/>
      <c r="R26" s="11"/>
      <c r="S26" s="11"/>
      <c r="W26" s="11"/>
      <c r="Z26" s="11"/>
    </row>
    <row r="27" spans="1:26" x14ac:dyDescent="0.3">
      <c r="A27" s="36" t="s">
        <v>492</v>
      </c>
      <c r="B27" s="37"/>
      <c r="C27" s="324">
        <v>0</v>
      </c>
      <c r="D27" s="324">
        <v>0</v>
      </c>
      <c r="E27" s="324">
        <v>0</v>
      </c>
      <c r="F27" s="324">
        <v>0</v>
      </c>
      <c r="G27" s="324">
        <v>0</v>
      </c>
      <c r="H27" s="326">
        <v>0</v>
      </c>
      <c r="I27" s="39">
        <f t="shared" si="12"/>
        <v>0</v>
      </c>
      <c r="J27" s="39">
        <f t="shared" si="13"/>
        <v>0</v>
      </c>
      <c r="K27" s="2"/>
      <c r="L27" s="187"/>
      <c r="M27" s="2"/>
      <c r="P27" s="11"/>
      <c r="Q27" s="11"/>
      <c r="R27" s="11"/>
      <c r="S27" s="11"/>
      <c r="W27" s="11"/>
      <c r="Z27" s="11"/>
    </row>
    <row r="28" spans="1:26" x14ac:dyDescent="0.3">
      <c r="A28" s="36" t="s">
        <v>493</v>
      </c>
      <c r="B28" s="37"/>
      <c r="C28" s="324">
        <v>0</v>
      </c>
      <c r="D28" s="324">
        <v>0</v>
      </c>
      <c r="E28" s="324">
        <v>0</v>
      </c>
      <c r="F28" s="324">
        <v>0</v>
      </c>
      <c r="G28" s="324">
        <v>0</v>
      </c>
      <c r="H28" s="326">
        <v>0</v>
      </c>
      <c r="I28" s="39">
        <f t="shared" si="12"/>
        <v>0</v>
      </c>
      <c r="J28" s="39">
        <f t="shared" si="13"/>
        <v>0</v>
      </c>
      <c r="K28" s="2"/>
      <c r="L28" s="187"/>
      <c r="M28" s="2"/>
      <c r="P28" s="11"/>
      <c r="Q28" s="11"/>
      <c r="R28" s="11"/>
      <c r="S28" s="11"/>
      <c r="W28" s="11"/>
      <c r="Z28" s="11"/>
    </row>
    <row r="29" spans="1:26" x14ac:dyDescent="0.3">
      <c r="A29" s="36" t="s">
        <v>494</v>
      </c>
      <c r="B29" s="37"/>
      <c r="C29" s="327">
        <v>0</v>
      </c>
      <c r="D29" s="327">
        <v>0</v>
      </c>
      <c r="E29" s="327">
        <v>0</v>
      </c>
      <c r="F29" s="327">
        <v>63986.784510402664</v>
      </c>
      <c r="G29" s="327">
        <v>109196.13879999564</v>
      </c>
      <c r="H29" s="328">
        <v>130512.91607851925</v>
      </c>
      <c r="I29" s="39">
        <f t="shared" si="12"/>
        <v>50615.973231486256</v>
      </c>
      <c r="J29" s="39">
        <f t="shared" si="13"/>
        <v>303695.83938891755</v>
      </c>
      <c r="K29" s="2"/>
      <c r="L29" s="187"/>
      <c r="M29" s="2"/>
      <c r="P29" s="11"/>
      <c r="Q29" s="11"/>
      <c r="R29" s="11"/>
      <c r="S29" s="11"/>
      <c r="W29" s="11"/>
      <c r="Z29" s="11"/>
    </row>
    <row r="30" spans="1:26" x14ac:dyDescent="0.3">
      <c r="A30" s="116" t="s">
        <v>274</v>
      </c>
      <c r="B30" s="313"/>
      <c r="C30" s="294">
        <f>SUM(C31:C34)</f>
        <v>545980.69399997813</v>
      </c>
      <c r="D30" s="297">
        <f t="shared" ref="D30:H30" si="15">SUM(D31:D34)</f>
        <v>545980.69399997813</v>
      </c>
      <c r="E30" s="297">
        <f t="shared" si="15"/>
        <v>545980.69399997813</v>
      </c>
      <c r="F30" s="297">
        <f t="shared" si="15"/>
        <v>481993.90948957542</v>
      </c>
      <c r="G30" s="297">
        <f t="shared" si="15"/>
        <v>436784.55519998248</v>
      </c>
      <c r="H30" s="296">
        <f t="shared" si="15"/>
        <v>415467.77792145894</v>
      </c>
      <c r="I30" s="62">
        <f t="shared" si="6"/>
        <v>495364.72076849191</v>
      </c>
      <c r="J30" s="62">
        <f>SUM(C30:H30)</f>
        <v>2972188.3246109514</v>
      </c>
      <c r="K30" s="2"/>
      <c r="L30" s="187"/>
      <c r="M30" s="2"/>
      <c r="P30" s="11"/>
      <c r="Q30" s="11"/>
      <c r="R30" s="11"/>
      <c r="S30" s="11"/>
    </row>
    <row r="31" spans="1:26" x14ac:dyDescent="0.3">
      <c r="A31" s="36" t="s">
        <v>491</v>
      </c>
      <c r="B31" s="37"/>
      <c r="C31" s="324">
        <v>181993.56466665937</v>
      </c>
      <c r="D31" s="325">
        <v>181993.56466665937</v>
      </c>
      <c r="E31" s="325">
        <v>181993.56466665937</v>
      </c>
      <c r="F31" s="325">
        <v>118206.11593354767</v>
      </c>
      <c r="G31" s="325">
        <v>72797.425866663747</v>
      </c>
      <c r="H31" s="326">
        <v>51547.118115045421</v>
      </c>
      <c r="I31" s="10">
        <f t="shared" ref="I31:I39" si="16">IFERROR(AVERAGE(C31:H31),0)</f>
        <v>131421.8923192058</v>
      </c>
      <c r="J31" s="39">
        <f t="shared" ref="J31:J39" si="17">SUM(C31:H31)</f>
        <v>788531.35391523479</v>
      </c>
      <c r="K31" s="2"/>
      <c r="L31" s="186"/>
      <c r="M31" s="2"/>
      <c r="P31" s="11"/>
      <c r="Q31" s="11"/>
      <c r="R31" s="11"/>
      <c r="S31" s="11"/>
      <c r="W31" s="11"/>
      <c r="Z31" s="11"/>
    </row>
    <row r="32" spans="1:26" ht="13.15" customHeight="1" x14ac:dyDescent="0.3">
      <c r="A32" s="36" t="s">
        <v>492</v>
      </c>
      <c r="B32" s="37"/>
      <c r="C32" s="324">
        <v>363987.12933331874</v>
      </c>
      <c r="D32" s="324">
        <v>363987.12933331874</v>
      </c>
      <c r="E32" s="324">
        <v>363987.12933331874</v>
      </c>
      <c r="F32" s="324">
        <v>363787.79355602775</v>
      </c>
      <c r="G32" s="324">
        <v>363987.12933331874</v>
      </c>
      <c r="H32" s="326">
        <v>363920.65980641352</v>
      </c>
      <c r="I32" s="39">
        <f t="shared" si="16"/>
        <v>363942.82844928605</v>
      </c>
      <c r="J32" s="39">
        <f t="shared" si="17"/>
        <v>2183656.9706957163</v>
      </c>
      <c r="K32" s="2"/>
      <c r="L32" s="187"/>
      <c r="M32" s="2"/>
      <c r="P32" s="11"/>
      <c r="Q32" s="11"/>
      <c r="R32" s="11"/>
      <c r="S32" s="11"/>
      <c r="W32" s="11"/>
      <c r="Z32" s="11"/>
    </row>
    <row r="33" spans="1:26" x14ac:dyDescent="0.3">
      <c r="A33" s="36" t="s">
        <v>493</v>
      </c>
      <c r="B33" s="37"/>
      <c r="C33" s="324">
        <v>0</v>
      </c>
      <c r="D33" s="324">
        <v>0</v>
      </c>
      <c r="E33" s="324">
        <v>0</v>
      </c>
      <c r="F33" s="324">
        <v>0</v>
      </c>
      <c r="G33" s="324">
        <v>0</v>
      </c>
      <c r="H33" s="326">
        <v>0</v>
      </c>
      <c r="I33" s="39">
        <f t="shared" si="16"/>
        <v>0</v>
      </c>
      <c r="J33" s="39">
        <f t="shared" si="17"/>
        <v>0</v>
      </c>
      <c r="K33" s="2"/>
      <c r="L33" s="187"/>
      <c r="M33" s="2"/>
      <c r="P33" s="11"/>
      <c r="Q33" s="11"/>
      <c r="R33" s="11"/>
      <c r="S33" s="11"/>
      <c r="W33" s="11"/>
      <c r="Z33" s="11"/>
    </row>
    <row r="34" spans="1:26" x14ac:dyDescent="0.3">
      <c r="A34" s="36" t="s">
        <v>494</v>
      </c>
      <c r="B34" s="37"/>
      <c r="C34" s="324">
        <v>0</v>
      </c>
      <c r="D34" s="324">
        <v>0</v>
      </c>
      <c r="E34" s="324">
        <v>0</v>
      </c>
      <c r="F34" s="324">
        <v>0</v>
      </c>
      <c r="G34" s="324">
        <v>0</v>
      </c>
      <c r="H34" s="326">
        <v>0</v>
      </c>
      <c r="I34" s="39">
        <f t="shared" si="16"/>
        <v>0</v>
      </c>
      <c r="J34" s="39">
        <f t="shared" si="17"/>
        <v>0</v>
      </c>
      <c r="K34" s="2"/>
      <c r="L34" s="187"/>
      <c r="M34" s="2"/>
      <c r="P34" s="11"/>
      <c r="Q34" s="11"/>
      <c r="R34" s="11"/>
      <c r="S34" s="11"/>
      <c r="W34" s="11"/>
      <c r="Z34" s="11"/>
    </row>
    <row r="35" spans="1:26" x14ac:dyDescent="0.3">
      <c r="A35" s="116" t="s">
        <v>462</v>
      </c>
      <c r="B35" s="313"/>
      <c r="C35" s="294">
        <f>SUM(C36:C39)</f>
        <v>0</v>
      </c>
      <c r="D35" s="297">
        <f t="shared" ref="D35:H35" si="18">SUM(D36:D39)</f>
        <v>0</v>
      </c>
      <c r="E35" s="297">
        <f t="shared" si="18"/>
        <v>0</v>
      </c>
      <c r="F35" s="297">
        <f t="shared" si="18"/>
        <v>0</v>
      </c>
      <c r="G35" s="297">
        <f t="shared" si="18"/>
        <v>0</v>
      </c>
      <c r="H35" s="296">
        <f t="shared" si="18"/>
        <v>0</v>
      </c>
      <c r="I35" s="62">
        <f t="shared" si="16"/>
        <v>0</v>
      </c>
      <c r="J35" s="62">
        <f t="shared" si="17"/>
        <v>0</v>
      </c>
      <c r="K35" s="2"/>
      <c r="L35" s="195"/>
      <c r="M35" s="2"/>
      <c r="P35" s="541"/>
      <c r="Q35" s="541"/>
      <c r="R35" s="541"/>
      <c r="S35" s="541"/>
    </row>
    <row r="36" spans="1:26" x14ac:dyDescent="0.3">
      <c r="A36" s="36" t="s">
        <v>491</v>
      </c>
      <c r="B36" s="37"/>
      <c r="C36" s="324">
        <v>0</v>
      </c>
      <c r="D36" s="324">
        <v>0</v>
      </c>
      <c r="E36" s="324">
        <v>0</v>
      </c>
      <c r="F36" s="324">
        <v>0</v>
      </c>
      <c r="G36" s="324">
        <v>0</v>
      </c>
      <c r="H36" s="326">
        <v>0</v>
      </c>
      <c r="I36" s="39">
        <f t="shared" si="16"/>
        <v>0</v>
      </c>
      <c r="J36" s="39">
        <f t="shared" si="17"/>
        <v>0</v>
      </c>
      <c r="K36" s="2"/>
      <c r="L36" s="187"/>
      <c r="M36" s="2"/>
      <c r="P36" s="541"/>
      <c r="Q36" s="541"/>
      <c r="R36" s="541"/>
      <c r="S36" s="541"/>
      <c r="W36" s="11"/>
      <c r="Z36" s="11"/>
    </row>
    <row r="37" spans="1:26" x14ac:dyDescent="0.3">
      <c r="A37" s="36" t="s">
        <v>492</v>
      </c>
      <c r="B37" s="37"/>
      <c r="C37" s="324">
        <v>0</v>
      </c>
      <c r="D37" s="324">
        <v>0</v>
      </c>
      <c r="E37" s="324">
        <v>0</v>
      </c>
      <c r="F37" s="324">
        <v>0</v>
      </c>
      <c r="G37" s="324">
        <v>0</v>
      </c>
      <c r="H37" s="326">
        <v>0</v>
      </c>
      <c r="I37" s="39">
        <f t="shared" si="16"/>
        <v>0</v>
      </c>
      <c r="J37" s="39">
        <f t="shared" si="17"/>
        <v>0</v>
      </c>
      <c r="K37" s="2"/>
      <c r="L37" s="187"/>
      <c r="M37" s="2"/>
      <c r="P37" s="541"/>
      <c r="Q37" s="541"/>
      <c r="R37" s="541"/>
      <c r="S37" s="541"/>
      <c r="W37" s="11"/>
      <c r="Z37" s="11"/>
    </row>
    <row r="38" spans="1:26" x14ac:dyDescent="0.3">
      <c r="A38" s="36" t="s">
        <v>493</v>
      </c>
      <c r="B38" s="37"/>
      <c r="C38" s="324">
        <v>0</v>
      </c>
      <c r="D38" s="324">
        <v>0</v>
      </c>
      <c r="E38" s="324">
        <v>0</v>
      </c>
      <c r="F38" s="324">
        <v>0</v>
      </c>
      <c r="G38" s="324">
        <v>0</v>
      </c>
      <c r="H38" s="326">
        <v>0</v>
      </c>
      <c r="I38" s="39">
        <f t="shared" si="16"/>
        <v>0</v>
      </c>
      <c r="J38" s="39">
        <f t="shared" si="17"/>
        <v>0</v>
      </c>
      <c r="K38" s="2"/>
      <c r="L38" s="187"/>
      <c r="M38" s="2"/>
      <c r="P38" s="541"/>
      <c r="Q38" s="541"/>
      <c r="R38" s="541"/>
      <c r="S38" s="541"/>
      <c r="W38" s="11"/>
      <c r="Z38" s="11"/>
    </row>
    <row r="39" spans="1:26" x14ac:dyDescent="0.3">
      <c r="A39" s="36" t="s">
        <v>494</v>
      </c>
      <c r="B39" s="37"/>
      <c r="C39" s="327">
        <v>0</v>
      </c>
      <c r="D39" s="327">
        <v>0</v>
      </c>
      <c r="E39" s="327">
        <v>0</v>
      </c>
      <c r="F39" s="327">
        <v>0</v>
      </c>
      <c r="G39" s="327">
        <v>0</v>
      </c>
      <c r="H39" s="328">
        <v>0</v>
      </c>
      <c r="I39" s="39">
        <f t="shared" si="16"/>
        <v>0</v>
      </c>
      <c r="J39" s="39">
        <f t="shared" si="17"/>
        <v>0</v>
      </c>
      <c r="K39" s="2"/>
      <c r="L39" s="187"/>
      <c r="M39" s="2"/>
      <c r="P39" s="541"/>
      <c r="Q39" s="541"/>
      <c r="R39" s="541"/>
      <c r="S39" s="541"/>
      <c r="W39" s="11"/>
      <c r="Z39" s="11"/>
    </row>
    <row r="40" spans="1:26" x14ac:dyDescent="0.3">
      <c r="A40" s="115" t="s">
        <v>347</v>
      </c>
      <c r="B40" s="53"/>
      <c r="C40" s="223">
        <f>C41+C46+C51+C56+C61+C66</f>
        <v>1426285.5400000212</v>
      </c>
      <c r="D40" s="221">
        <f t="shared" ref="D40" si="19">D41+D46+D51+D56+D61+D66</f>
        <v>1426285.5400000217</v>
      </c>
      <c r="E40" s="221">
        <f t="shared" ref="E40" si="20">E41+E46+E51+E56+E61+E66</f>
        <v>1426285.5400000217</v>
      </c>
      <c r="F40" s="221">
        <f t="shared" ref="F40" si="21">F41+F46+F51+F56+F61+F66</f>
        <v>1426285.5400000215</v>
      </c>
      <c r="G40" s="221">
        <f t="shared" ref="G40" si="22">G41+G46+G51+G56+G61+G66</f>
        <v>1426285.5400000215</v>
      </c>
      <c r="H40" s="222">
        <f t="shared" ref="H40" si="23">H41+H46+H51+H56+H61+H66</f>
        <v>1426285.5400000217</v>
      </c>
      <c r="I40" s="301">
        <f t="shared" ref="I40:I60" si="24">IFERROR(AVERAGE(C40:H40),0)</f>
        <v>1426285.5400000215</v>
      </c>
      <c r="J40" s="301">
        <f>SUM(C40:H40)</f>
        <v>8557713.2400001287</v>
      </c>
      <c r="K40" s="2"/>
      <c r="L40" s="195"/>
      <c r="M40" s="2"/>
      <c r="P40" s="541"/>
      <c r="Q40" s="541"/>
      <c r="R40" s="541"/>
      <c r="S40" s="541"/>
    </row>
    <row r="41" spans="1:26" x14ac:dyDescent="0.3">
      <c r="A41" s="116" t="s">
        <v>273</v>
      </c>
      <c r="B41" s="313"/>
      <c r="C41" s="294">
        <f>SUM(C42:C45)</f>
        <v>875695.18800001638</v>
      </c>
      <c r="D41" s="297">
        <f t="shared" ref="D41" si="25">SUM(D42:D45)</f>
        <v>875695.18800001661</v>
      </c>
      <c r="E41" s="297">
        <f t="shared" ref="E41" si="26">SUM(E42:E45)</f>
        <v>875695.18800001661</v>
      </c>
      <c r="F41" s="297">
        <f t="shared" ref="F41" si="27">SUM(F42:F45)</f>
        <v>875695.18800001661</v>
      </c>
      <c r="G41" s="297">
        <f t="shared" ref="G41" si="28">SUM(G42:G45)</f>
        <v>875695.18800001661</v>
      </c>
      <c r="H41" s="296">
        <f t="shared" ref="H41" si="29">SUM(H42:H45)</f>
        <v>875695.18800001661</v>
      </c>
      <c r="I41" s="62">
        <f t="shared" si="24"/>
        <v>875695.18800001673</v>
      </c>
      <c r="J41" s="62">
        <f>SUM(C41:H41)</f>
        <v>5254171.1280001001</v>
      </c>
      <c r="K41" s="2"/>
      <c r="L41" s="187"/>
      <c r="M41" s="2"/>
      <c r="P41" s="541"/>
      <c r="Q41" s="541"/>
      <c r="R41" s="541"/>
      <c r="S41" s="541"/>
    </row>
    <row r="42" spans="1:26" x14ac:dyDescent="0.3">
      <c r="A42" s="36" t="s">
        <v>491</v>
      </c>
      <c r="B42" s="37"/>
      <c r="C42" s="324">
        <v>438627.29667525791</v>
      </c>
      <c r="D42" s="325">
        <v>306394.05868997198</v>
      </c>
      <c r="E42" s="325">
        <v>230517.94834859637</v>
      </c>
      <c r="F42" s="325">
        <v>171939.57293884645</v>
      </c>
      <c r="G42" s="325">
        <v>118065.90703736678</v>
      </c>
      <c r="H42" s="326">
        <v>63304.594609040054</v>
      </c>
      <c r="I42" s="10">
        <f t="shared" si="24"/>
        <v>221474.89638317993</v>
      </c>
      <c r="J42" s="39">
        <f t="shared" ref="J42:J50" si="30">SUM(C42:H42)</f>
        <v>1328849.3782990796</v>
      </c>
      <c r="K42" s="2"/>
      <c r="L42" s="186"/>
      <c r="M42" s="2"/>
      <c r="P42" s="541"/>
      <c r="Q42" s="541"/>
      <c r="R42" s="541"/>
      <c r="S42" s="541"/>
    </row>
    <row r="43" spans="1:26" ht="13.15" customHeight="1" x14ac:dyDescent="0.3">
      <c r="A43" s="36" t="s">
        <v>492</v>
      </c>
      <c r="B43" s="37"/>
      <c r="C43" s="324">
        <v>233712.07960503601</v>
      </c>
      <c r="D43" s="324">
        <v>233735.83022071194</v>
      </c>
      <c r="E43" s="324">
        <v>233747.85568662352</v>
      </c>
      <c r="F43" s="324">
        <v>237747.28626911555</v>
      </c>
      <c r="G43" s="324">
        <v>240602.00556518915</v>
      </c>
      <c r="H43" s="326">
        <v>239253.08797821298</v>
      </c>
      <c r="I43" s="39">
        <f t="shared" si="24"/>
        <v>236466.35755414818</v>
      </c>
      <c r="J43" s="39">
        <f t="shared" si="30"/>
        <v>1418798.1453248891</v>
      </c>
      <c r="K43" s="2"/>
      <c r="L43" s="187"/>
      <c r="M43" s="2"/>
      <c r="P43" s="541"/>
      <c r="Q43" s="541"/>
      <c r="R43" s="541"/>
      <c r="S43" s="541"/>
    </row>
    <row r="44" spans="1:26" x14ac:dyDescent="0.3">
      <c r="A44" s="36" t="s">
        <v>493</v>
      </c>
      <c r="B44" s="37"/>
      <c r="C44" s="324">
        <v>51453.526000000194</v>
      </c>
      <c r="D44" s="324">
        <v>51453.526000000194</v>
      </c>
      <c r="E44" s="324">
        <v>51453.526000000194</v>
      </c>
      <c r="F44" s="324">
        <v>51453.526000000194</v>
      </c>
      <c r="G44" s="324">
        <v>51453.526000000194</v>
      </c>
      <c r="H44" s="326">
        <v>51453.526000000194</v>
      </c>
      <c r="I44" s="39">
        <f t="shared" si="24"/>
        <v>51453.526000000194</v>
      </c>
      <c r="J44" s="39">
        <f t="shared" si="30"/>
        <v>308721.15600000118</v>
      </c>
      <c r="K44" s="2"/>
      <c r="L44" s="187"/>
      <c r="M44" s="2"/>
      <c r="P44" s="541"/>
      <c r="Q44" s="541"/>
      <c r="R44" s="541"/>
      <c r="S44" s="541"/>
    </row>
    <row r="45" spans="1:26" x14ac:dyDescent="0.3">
      <c r="A45" s="36" t="s">
        <v>494</v>
      </c>
      <c r="B45" s="37"/>
      <c r="C45" s="324">
        <v>151902.28571972231</v>
      </c>
      <c r="D45" s="324">
        <v>284111.77308933245</v>
      </c>
      <c r="E45" s="324">
        <v>359975.85796479648</v>
      </c>
      <c r="F45" s="324">
        <v>414554.80279205437</v>
      </c>
      <c r="G45" s="324">
        <v>465573.74939746049</v>
      </c>
      <c r="H45" s="326">
        <v>521683.97941276332</v>
      </c>
      <c r="I45" s="39">
        <f t="shared" si="24"/>
        <v>366300.40806268825</v>
      </c>
      <c r="J45" s="39">
        <f t="shared" si="30"/>
        <v>2197802.4483761294</v>
      </c>
      <c r="K45" s="2"/>
      <c r="L45" s="187"/>
      <c r="M45" s="2"/>
    </row>
    <row r="46" spans="1:26" x14ac:dyDescent="0.3">
      <c r="A46" s="116" t="s">
        <v>495</v>
      </c>
      <c r="B46" s="313"/>
      <c r="C46" s="294">
        <f>SUM(C47:C50)</f>
        <v>258134.29500000496</v>
      </c>
      <c r="D46" s="297">
        <f t="shared" ref="D46" si="31">SUM(D47:D50)</f>
        <v>258134.29500000496</v>
      </c>
      <c r="E46" s="297">
        <f t="shared" ref="E46" si="32">SUM(E47:E50)</f>
        <v>258134.29500000496</v>
      </c>
      <c r="F46" s="297">
        <f t="shared" ref="F46" si="33">SUM(F47:F50)</f>
        <v>258134.29500000496</v>
      </c>
      <c r="G46" s="297">
        <f t="shared" ref="G46" si="34">SUM(G47:G50)</f>
        <v>258134.29500000496</v>
      </c>
      <c r="H46" s="296">
        <f t="shared" ref="H46" si="35">SUM(H47:H50)</f>
        <v>258134.29500000496</v>
      </c>
      <c r="I46" s="62">
        <f t="shared" si="24"/>
        <v>258134.29500000496</v>
      </c>
      <c r="J46" s="62">
        <f t="shared" si="30"/>
        <v>1548805.7700000298</v>
      </c>
      <c r="K46" s="2"/>
      <c r="L46" s="195"/>
      <c r="M46" s="2"/>
    </row>
    <row r="47" spans="1:26" x14ac:dyDescent="0.3">
      <c r="A47" s="36" t="s">
        <v>491</v>
      </c>
      <c r="B47" s="37"/>
      <c r="C47" s="324">
        <v>0</v>
      </c>
      <c r="D47" s="324">
        <v>0</v>
      </c>
      <c r="E47" s="324">
        <v>0</v>
      </c>
      <c r="F47" s="324">
        <v>0</v>
      </c>
      <c r="G47" s="324">
        <v>0</v>
      </c>
      <c r="H47" s="326">
        <v>0</v>
      </c>
      <c r="I47" s="39">
        <f t="shared" si="24"/>
        <v>0</v>
      </c>
      <c r="J47" s="39">
        <f t="shared" si="30"/>
        <v>0</v>
      </c>
      <c r="K47" s="2"/>
      <c r="L47" s="187"/>
      <c r="M47" s="2"/>
    </row>
    <row r="48" spans="1:26" x14ac:dyDescent="0.3">
      <c r="A48" s="36" t="s">
        <v>492</v>
      </c>
      <c r="B48" s="37"/>
      <c r="C48" s="324">
        <v>258134.29500000496</v>
      </c>
      <c r="D48" s="324">
        <v>258134.29500000496</v>
      </c>
      <c r="E48" s="324">
        <v>258134.29500000496</v>
      </c>
      <c r="F48" s="324">
        <v>258134.29500000496</v>
      </c>
      <c r="G48" s="324">
        <v>258134.29500000496</v>
      </c>
      <c r="H48" s="326">
        <v>258134.29500000496</v>
      </c>
      <c r="I48" s="39">
        <f t="shared" ref="I48" si="36">IFERROR(AVERAGE(C48:H48),0)</f>
        <v>258134.29500000496</v>
      </c>
      <c r="J48" s="39">
        <f t="shared" ref="J48" si="37">SUM(C48:H48)</f>
        <v>1548805.7700000298</v>
      </c>
      <c r="K48" s="2"/>
      <c r="L48" s="187"/>
      <c r="M48" s="2"/>
    </row>
    <row r="49" spans="1:13" x14ac:dyDescent="0.3">
      <c r="A49" s="36" t="s">
        <v>493</v>
      </c>
      <c r="B49" s="37"/>
      <c r="C49" s="324">
        <v>0</v>
      </c>
      <c r="D49" s="324">
        <v>0</v>
      </c>
      <c r="E49" s="324">
        <v>0</v>
      </c>
      <c r="F49" s="324">
        <v>0</v>
      </c>
      <c r="G49" s="324">
        <v>0</v>
      </c>
      <c r="H49" s="326">
        <v>0</v>
      </c>
      <c r="I49" s="39">
        <f t="shared" si="24"/>
        <v>0</v>
      </c>
      <c r="J49" s="39">
        <f t="shared" si="30"/>
        <v>0</v>
      </c>
      <c r="K49" s="2"/>
      <c r="L49" s="187"/>
      <c r="M49" s="2"/>
    </row>
    <row r="50" spans="1:13" x14ac:dyDescent="0.3">
      <c r="A50" s="36" t="s">
        <v>494</v>
      </c>
      <c r="B50" s="37"/>
      <c r="C50" s="327">
        <v>0</v>
      </c>
      <c r="D50" s="327">
        <v>0</v>
      </c>
      <c r="E50" s="327">
        <v>0</v>
      </c>
      <c r="F50" s="327">
        <v>0</v>
      </c>
      <c r="G50" s="327">
        <v>0</v>
      </c>
      <c r="H50" s="328">
        <v>0</v>
      </c>
      <c r="I50" s="39">
        <f t="shared" si="24"/>
        <v>0</v>
      </c>
      <c r="J50" s="39">
        <f t="shared" si="30"/>
        <v>0</v>
      </c>
      <c r="K50" s="2"/>
      <c r="L50" s="187"/>
      <c r="M50" s="2"/>
    </row>
    <row r="51" spans="1:13" x14ac:dyDescent="0.3">
      <c r="A51" s="116" t="s">
        <v>496</v>
      </c>
      <c r="B51" s="313"/>
      <c r="C51" s="294">
        <f>SUM(C52:C55)</f>
        <v>0</v>
      </c>
      <c r="D51" s="297">
        <f t="shared" ref="D51:H51" si="38">SUM(D52:D55)</f>
        <v>0</v>
      </c>
      <c r="E51" s="297">
        <f t="shared" si="38"/>
        <v>0</v>
      </c>
      <c r="F51" s="297">
        <f t="shared" si="38"/>
        <v>0</v>
      </c>
      <c r="G51" s="297">
        <f t="shared" si="38"/>
        <v>0</v>
      </c>
      <c r="H51" s="296">
        <f t="shared" si="38"/>
        <v>0</v>
      </c>
      <c r="I51" s="62">
        <f t="shared" si="24"/>
        <v>0</v>
      </c>
      <c r="J51" s="62">
        <f>SUM(C51:H51)</f>
        <v>0</v>
      </c>
      <c r="K51" s="2"/>
      <c r="L51" s="187"/>
      <c r="M51" s="2"/>
    </row>
    <row r="52" spans="1:13" x14ac:dyDescent="0.3">
      <c r="A52" s="36" t="s">
        <v>491</v>
      </c>
      <c r="B52" s="37"/>
      <c r="C52" s="324">
        <v>0</v>
      </c>
      <c r="D52" s="325">
        <v>0</v>
      </c>
      <c r="E52" s="325">
        <v>0</v>
      </c>
      <c r="F52" s="325">
        <v>0</v>
      </c>
      <c r="G52" s="325">
        <v>0</v>
      </c>
      <c r="H52" s="326">
        <v>0</v>
      </c>
      <c r="I52" s="10">
        <f t="shared" si="24"/>
        <v>0</v>
      </c>
      <c r="J52" s="39">
        <f t="shared" ref="J52:J60" si="39">SUM(C52:H52)</f>
        <v>0</v>
      </c>
      <c r="K52" s="2"/>
      <c r="L52" s="186"/>
      <c r="M52" s="2"/>
    </row>
    <row r="53" spans="1:13" ht="13.15" customHeight="1" x14ac:dyDescent="0.3">
      <c r="A53" s="36" t="s">
        <v>492</v>
      </c>
      <c r="B53" s="37"/>
      <c r="C53" s="324">
        <v>0</v>
      </c>
      <c r="D53" s="324">
        <v>0</v>
      </c>
      <c r="E53" s="324">
        <v>0</v>
      </c>
      <c r="F53" s="324">
        <v>0</v>
      </c>
      <c r="G53" s="324">
        <v>0</v>
      </c>
      <c r="H53" s="326">
        <v>0</v>
      </c>
      <c r="I53" s="39">
        <f t="shared" si="24"/>
        <v>0</v>
      </c>
      <c r="J53" s="39">
        <f t="shared" si="39"/>
        <v>0</v>
      </c>
      <c r="K53" s="2"/>
      <c r="L53" s="187"/>
      <c r="M53" s="2"/>
    </row>
    <row r="54" spans="1:13" x14ac:dyDescent="0.3">
      <c r="A54" s="36" t="s">
        <v>493</v>
      </c>
      <c r="B54" s="37"/>
      <c r="C54" s="324">
        <v>0</v>
      </c>
      <c r="D54" s="324">
        <v>0</v>
      </c>
      <c r="E54" s="324">
        <v>0</v>
      </c>
      <c r="F54" s="324">
        <v>0</v>
      </c>
      <c r="G54" s="324">
        <v>0</v>
      </c>
      <c r="H54" s="326">
        <v>0</v>
      </c>
      <c r="I54" s="39">
        <f t="shared" si="24"/>
        <v>0</v>
      </c>
      <c r="J54" s="39">
        <f t="shared" si="39"/>
        <v>0</v>
      </c>
      <c r="K54" s="2"/>
      <c r="L54" s="187"/>
      <c r="M54" s="2"/>
    </row>
    <row r="55" spans="1:13" x14ac:dyDescent="0.3">
      <c r="A55" s="36" t="s">
        <v>494</v>
      </c>
      <c r="B55" s="37"/>
      <c r="C55" s="324">
        <v>0</v>
      </c>
      <c r="D55" s="324">
        <v>0</v>
      </c>
      <c r="E55" s="324">
        <v>0</v>
      </c>
      <c r="F55" s="324">
        <v>0</v>
      </c>
      <c r="G55" s="324">
        <v>0</v>
      </c>
      <c r="H55" s="326">
        <v>0</v>
      </c>
      <c r="I55" s="39">
        <f t="shared" si="24"/>
        <v>0</v>
      </c>
      <c r="J55" s="39">
        <f t="shared" si="39"/>
        <v>0</v>
      </c>
      <c r="K55" s="2"/>
      <c r="L55" s="187"/>
      <c r="M55" s="2"/>
    </row>
    <row r="56" spans="1:13" x14ac:dyDescent="0.3">
      <c r="A56" s="116" t="s">
        <v>272</v>
      </c>
      <c r="B56" s="313"/>
      <c r="C56" s="294">
        <f>SUM(C57:C60)</f>
        <v>174263.40000000002</v>
      </c>
      <c r="D56" s="297">
        <f t="shared" ref="D56:H56" si="40">SUM(D57:D60)</f>
        <v>174263.40000000002</v>
      </c>
      <c r="E56" s="297">
        <f t="shared" si="40"/>
        <v>174263.40000000002</v>
      </c>
      <c r="F56" s="297">
        <f t="shared" si="40"/>
        <v>188115.11336144578</v>
      </c>
      <c r="G56" s="297">
        <f t="shared" si="40"/>
        <v>197901.9314</v>
      </c>
      <c r="H56" s="296">
        <f t="shared" si="40"/>
        <v>202516.53878981006</v>
      </c>
      <c r="I56" s="62">
        <f t="shared" si="24"/>
        <v>185220.63059187599</v>
      </c>
      <c r="J56" s="62">
        <f t="shared" si="39"/>
        <v>1111323.7835512559</v>
      </c>
      <c r="K56" s="2"/>
      <c r="L56" s="195"/>
      <c r="M56" s="2"/>
    </row>
    <row r="57" spans="1:13" x14ac:dyDescent="0.3">
      <c r="A57" s="36" t="s">
        <v>491</v>
      </c>
      <c r="B57" s="37"/>
      <c r="C57" s="324">
        <v>174263.40000000002</v>
      </c>
      <c r="D57" s="324">
        <v>174263.40000000002</v>
      </c>
      <c r="E57" s="324">
        <v>174263.40000000002</v>
      </c>
      <c r="F57" s="324">
        <v>174263.40000000002</v>
      </c>
      <c r="G57" s="324">
        <v>174263.40000000002</v>
      </c>
      <c r="H57" s="326">
        <v>174263.40000000002</v>
      </c>
      <c r="I57" s="39">
        <f t="shared" si="24"/>
        <v>174263.40000000002</v>
      </c>
      <c r="J57" s="39">
        <f t="shared" si="39"/>
        <v>1045580.4000000001</v>
      </c>
      <c r="K57" s="2"/>
      <c r="L57" s="187"/>
      <c r="M57" s="2"/>
    </row>
    <row r="58" spans="1:13" x14ac:dyDescent="0.3">
      <c r="A58" s="36" t="s">
        <v>492</v>
      </c>
      <c r="B58" s="37"/>
      <c r="C58" s="324">
        <v>0</v>
      </c>
      <c r="D58" s="324">
        <v>0</v>
      </c>
      <c r="E58" s="324">
        <v>0</v>
      </c>
      <c r="F58" s="324">
        <v>0</v>
      </c>
      <c r="G58" s="324">
        <v>0</v>
      </c>
      <c r="H58" s="326">
        <v>0</v>
      </c>
      <c r="I58" s="39">
        <f t="shared" si="24"/>
        <v>0</v>
      </c>
      <c r="J58" s="39">
        <f t="shared" si="39"/>
        <v>0</v>
      </c>
      <c r="K58" s="2"/>
      <c r="L58" s="187"/>
      <c r="M58" s="2"/>
    </row>
    <row r="59" spans="1:13" x14ac:dyDescent="0.3">
      <c r="A59" s="36" t="s">
        <v>493</v>
      </c>
      <c r="B59" s="37"/>
      <c r="C59" s="324">
        <v>0</v>
      </c>
      <c r="D59" s="324">
        <v>0</v>
      </c>
      <c r="E59" s="324">
        <v>0</v>
      </c>
      <c r="F59" s="324">
        <v>0</v>
      </c>
      <c r="G59" s="324">
        <v>0</v>
      </c>
      <c r="H59" s="326">
        <v>0</v>
      </c>
      <c r="I59" s="39">
        <f t="shared" si="24"/>
        <v>0</v>
      </c>
      <c r="J59" s="39">
        <f t="shared" si="39"/>
        <v>0</v>
      </c>
      <c r="K59" s="2"/>
      <c r="L59" s="187"/>
      <c r="M59" s="2"/>
    </row>
    <row r="60" spans="1:13" x14ac:dyDescent="0.3">
      <c r="A60" s="36" t="s">
        <v>494</v>
      </c>
      <c r="B60" s="37"/>
      <c r="C60" s="327">
        <v>0</v>
      </c>
      <c r="D60" s="327">
        <v>0</v>
      </c>
      <c r="E60" s="327">
        <v>0</v>
      </c>
      <c r="F60" s="327">
        <v>13851.713361445758</v>
      </c>
      <c r="G60" s="327">
        <v>23638.531399999971</v>
      </c>
      <c r="H60" s="328">
        <v>28253.138789810047</v>
      </c>
      <c r="I60" s="39">
        <f t="shared" si="24"/>
        <v>10957.230591875961</v>
      </c>
      <c r="J60" s="39">
        <f t="shared" si="39"/>
        <v>65743.383551255771</v>
      </c>
      <c r="K60" s="2"/>
      <c r="L60" s="187"/>
      <c r="M60" s="2"/>
    </row>
    <row r="61" spans="1:13" x14ac:dyDescent="0.3">
      <c r="A61" s="116" t="s">
        <v>274</v>
      </c>
      <c r="B61" s="313"/>
      <c r="C61" s="294">
        <f>SUM(C62:C65)</f>
        <v>118192.65699999985</v>
      </c>
      <c r="D61" s="297">
        <f t="shared" ref="D61:H61" si="41">SUM(D62:D65)</f>
        <v>118192.65699999985</v>
      </c>
      <c r="E61" s="297">
        <f t="shared" si="41"/>
        <v>118192.65699999985</v>
      </c>
      <c r="F61" s="297">
        <f t="shared" si="41"/>
        <v>104340.94363855408</v>
      </c>
      <c r="G61" s="297">
        <f t="shared" si="41"/>
        <v>94554.125599999883</v>
      </c>
      <c r="H61" s="296">
        <f t="shared" si="41"/>
        <v>89939.51821018981</v>
      </c>
      <c r="I61" s="62">
        <f t="shared" ref="I61:I70" si="42">IFERROR(AVERAGE(C61:H61),0)</f>
        <v>107235.42640812388</v>
      </c>
      <c r="J61" s="62">
        <f>SUM(C61:H61)</f>
        <v>643412.55844874331</v>
      </c>
      <c r="K61" s="2"/>
      <c r="L61" s="187"/>
      <c r="M61" s="2"/>
    </row>
    <row r="62" spans="1:13" x14ac:dyDescent="0.3">
      <c r="A62" s="36" t="s">
        <v>491</v>
      </c>
      <c r="B62" s="37"/>
      <c r="C62" s="324">
        <v>39397.552333333282</v>
      </c>
      <c r="D62" s="325">
        <v>39397.552333333282</v>
      </c>
      <c r="E62" s="325">
        <v>39397.552333333282</v>
      </c>
      <c r="F62" s="325">
        <v>25588.990726907599</v>
      </c>
      <c r="G62" s="325">
        <v>15759.020933333313</v>
      </c>
      <c r="H62" s="326">
        <v>11158.802715303127</v>
      </c>
      <c r="I62" s="10">
        <f t="shared" si="42"/>
        <v>28449.911895923982</v>
      </c>
      <c r="J62" s="39">
        <f t="shared" ref="J62:J70" si="43">SUM(C62:H62)</f>
        <v>170699.47137554389</v>
      </c>
      <c r="K62" s="2"/>
      <c r="L62" s="186"/>
      <c r="M62" s="2"/>
    </row>
    <row r="63" spans="1:13" ht="13.15" customHeight="1" x14ac:dyDescent="0.3">
      <c r="A63" s="36" t="s">
        <v>492</v>
      </c>
      <c r="B63" s="37"/>
      <c r="C63" s="324">
        <v>78795.104666666564</v>
      </c>
      <c r="D63" s="324">
        <v>78795.104666666564</v>
      </c>
      <c r="E63" s="324">
        <v>78795.104666666564</v>
      </c>
      <c r="F63" s="324">
        <v>78751.952911646484</v>
      </c>
      <c r="G63" s="324">
        <v>78795.104666666564</v>
      </c>
      <c r="H63" s="326">
        <v>78780.715494886681</v>
      </c>
      <c r="I63" s="39">
        <f t="shared" si="42"/>
        <v>78785.514512199894</v>
      </c>
      <c r="J63" s="39">
        <f t="shared" si="43"/>
        <v>472713.08707319939</v>
      </c>
      <c r="K63" s="2"/>
      <c r="L63" s="187"/>
      <c r="M63" s="2"/>
    </row>
    <row r="64" spans="1:13" x14ac:dyDescent="0.3">
      <c r="A64" s="36" t="s">
        <v>493</v>
      </c>
      <c r="B64" s="37"/>
      <c r="C64" s="324">
        <v>0</v>
      </c>
      <c r="D64" s="324">
        <v>0</v>
      </c>
      <c r="E64" s="324">
        <v>0</v>
      </c>
      <c r="F64" s="324">
        <v>0</v>
      </c>
      <c r="G64" s="324">
        <v>0</v>
      </c>
      <c r="H64" s="326">
        <v>0</v>
      </c>
      <c r="I64" s="39">
        <f t="shared" si="42"/>
        <v>0</v>
      </c>
      <c r="J64" s="39">
        <f t="shared" si="43"/>
        <v>0</v>
      </c>
      <c r="K64" s="2"/>
      <c r="L64" s="187"/>
      <c r="M64" s="2"/>
    </row>
    <row r="65" spans="1:13" x14ac:dyDescent="0.3">
      <c r="A65" s="36" t="s">
        <v>494</v>
      </c>
      <c r="B65" s="37"/>
      <c r="C65" s="324">
        <v>0</v>
      </c>
      <c r="D65" s="324">
        <v>0</v>
      </c>
      <c r="E65" s="324">
        <v>0</v>
      </c>
      <c r="F65" s="324">
        <v>0</v>
      </c>
      <c r="G65" s="324">
        <v>0</v>
      </c>
      <c r="H65" s="326">
        <v>0</v>
      </c>
      <c r="I65" s="39">
        <f t="shared" si="42"/>
        <v>0</v>
      </c>
      <c r="J65" s="39">
        <f t="shared" si="43"/>
        <v>0</v>
      </c>
      <c r="K65" s="2"/>
      <c r="L65" s="187"/>
      <c r="M65" s="2"/>
    </row>
    <row r="66" spans="1:13" x14ac:dyDescent="0.3">
      <c r="A66" s="116" t="s">
        <v>462</v>
      </c>
      <c r="B66" s="313"/>
      <c r="C66" s="294">
        <f>SUM(C67:C70)</f>
        <v>0</v>
      </c>
      <c r="D66" s="297">
        <f t="shared" ref="D66:H66" si="44">SUM(D67:D70)</f>
        <v>0</v>
      </c>
      <c r="E66" s="297">
        <f t="shared" si="44"/>
        <v>0</v>
      </c>
      <c r="F66" s="297">
        <f t="shared" si="44"/>
        <v>0</v>
      </c>
      <c r="G66" s="297">
        <f t="shared" si="44"/>
        <v>0</v>
      </c>
      <c r="H66" s="296">
        <f t="shared" si="44"/>
        <v>0</v>
      </c>
      <c r="I66" s="62">
        <f t="shared" si="42"/>
        <v>0</v>
      </c>
      <c r="J66" s="62">
        <f t="shared" si="43"/>
        <v>0</v>
      </c>
      <c r="K66" s="2"/>
      <c r="L66" s="195"/>
      <c r="M66" s="2"/>
    </row>
    <row r="67" spans="1:13" x14ac:dyDescent="0.3">
      <c r="A67" s="36" t="s">
        <v>491</v>
      </c>
      <c r="B67" s="37"/>
      <c r="C67" s="324">
        <v>0</v>
      </c>
      <c r="D67" s="324">
        <v>0</v>
      </c>
      <c r="E67" s="324">
        <v>0</v>
      </c>
      <c r="F67" s="324">
        <v>0</v>
      </c>
      <c r="G67" s="324">
        <v>0</v>
      </c>
      <c r="H67" s="326">
        <v>0</v>
      </c>
      <c r="I67" s="39">
        <f t="shared" si="42"/>
        <v>0</v>
      </c>
      <c r="J67" s="39">
        <f t="shared" si="43"/>
        <v>0</v>
      </c>
      <c r="K67" s="2"/>
      <c r="L67" s="187"/>
      <c r="M67" s="2"/>
    </row>
    <row r="68" spans="1:13" x14ac:dyDescent="0.3">
      <c r="A68" s="36" t="s">
        <v>492</v>
      </c>
      <c r="B68" s="37"/>
      <c r="C68" s="324">
        <v>0</v>
      </c>
      <c r="D68" s="324">
        <v>0</v>
      </c>
      <c r="E68" s="324">
        <v>0</v>
      </c>
      <c r="F68" s="324">
        <v>0</v>
      </c>
      <c r="G68" s="324">
        <v>0</v>
      </c>
      <c r="H68" s="326">
        <v>0</v>
      </c>
      <c r="I68" s="39">
        <f t="shared" si="42"/>
        <v>0</v>
      </c>
      <c r="J68" s="39">
        <f t="shared" si="43"/>
        <v>0</v>
      </c>
      <c r="K68" s="2"/>
      <c r="L68" s="187"/>
      <c r="M68" s="2"/>
    </row>
    <row r="69" spans="1:13" x14ac:dyDescent="0.3">
      <c r="A69" s="36" t="s">
        <v>493</v>
      </c>
      <c r="B69" s="37"/>
      <c r="C69" s="324">
        <v>0</v>
      </c>
      <c r="D69" s="324">
        <v>0</v>
      </c>
      <c r="E69" s="324">
        <v>0</v>
      </c>
      <c r="F69" s="324">
        <v>0</v>
      </c>
      <c r="G69" s="324">
        <v>0</v>
      </c>
      <c r="H69" s="326">
        <v>0</v>
      </c>
      <c r="I69" s="39">
        <f t="shared" si="42"/>
        <v>0</v>
      </c>
      <c r="J69" s="39">
        <f t="shared" si="43"/>
        <v>0</v>
      </c>
      <c r="K69" s="2"/>
      <c r="L69" s="187"/>
      <c r="M69" s="2"/>
    </row>
    <row r="70" spans="1:13" x14ac:dyDescent="0.3">
      <c r="A70" s="36" t="s">
        <v>494</v>
      </c>
      <c r="B70" s="37"/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8">
        <v>0</v>
      </c>
      <c r="I70" s="39">
        <f t="shared" si="42"/>
        <v>0</v>
      </c>
      <c r="J70" s="39">
        <f t="shared" si="43"/>
        <v>0</v>
      </c>
      <c r="K70" s="2"/>
      <c r="L70" s="187"/>
      <c r="M70" s="2"/>
    </row>
    <row r="71" spans="1:13" x14ac:dyDescent="0.3">
      <c r="A71" s="115" t="s">
        <v>300</v>
      </c>
      <c r="B71" s="53"/>
      <c r="C71" s="223">
        <f>C72+C77+C82+C87+C92+C97</f>
        <v>345093.34652000834</v>
      </c>
      <c r="D71" s="221">
        <f t="shared" ref="D71" si="45">D72+D77+D82+D87+D92+D97</f>
        <v>345093.34652000823</v>
      </c>
      <c r="E71" s="221">
        <f t="shared" ref="E71" si="46">E72+E77+E82+E87+E92+E97</f>
        <v>345093.34652000846</v>
      </c>
      <c r="F71" s="221">
        <f t="shared" ref="F71" si="47">F72+F77+F82+F87+F92+F97</f>
        <v>345093.34652000817</v>
      </c>
      <c r="G71" s="221">
        <f t="shared" ref="G71" si="48">G72+G77+G82+G87+G92+G97</f>
        <v>345093.34652000823</v>
      </c>
      <c r="H71" s="222">
        <f t="shared" ref="H71" si="49">H72+H77+H82+H87+H92+H97</f>
        <v>345093.34652000846</v>
      </c>
      <c r="I71" s="301">
        <f t="shared" si="6"/>
        <v>345093.34652000834</v>
      </c>
      <c r="J71" s="301">
        <f>SUM(C71:H71)</f>
        <v>2070560.07912005</v>
      </c>
      <c r="K71" s="2"/>
      <c r="L71" s="195"/>
      <c r="M71" s="2"/>
    </row>
    <row r="72" spans="1:13" x14ac:dyDescent="0.3">
      <c r="A72" s="116" t="s">
        <v>273</v>
      </c>
      <c r="B72" s="313"/>
      <c r="C72" s="294">
        <f>SUM(C73:C76)</f>
        <v>208698.09676001099</v>
      </c>
      <c r="D72" s="297">
        <f t="shared" ref="D72" si="50">SUM(D73:D76)</f>
        <v>208698.09676001084</v>
      </c>
      <c r="E72" s="297">
        <f t="shared" ref="E72" si="51">SUM(E73:E76)</f>
        <v>208698.09676001107</v>
      </c>
      <c r="F72" s="297">
        <f t="shared" ref="F72" si="52">SUM(F73:F76)</f>
        <v>208698.09676001081</v>
      </c>
      <c r="G72" s="297">
        <f t="shared" ref="G72" si="53">SUM(G73:G76)</f>
        <v>208698.0967600109</v>
      </c>
      <c r="H72" s="296">
        <f t="shared" ref="H72" si="54">SUM(H73:H76)</f>
        <v>208698.0967600111</v>
      </c>
      <c r="I72" s="62">
        <f t="shared" si="6"/>
        <v>208698.09676001096</v>
      </c>
      <c r="J72" s="62">
        <f>SUM(C72:H72)</f>
        <v>1252188.5805600658</v>
      </c>
      <c r="K72" s="2"/>
      <c r="L72" s="187"/>
      <c r="M72" s="2"/>
    </row>
    <row r="73" spans="1:13" x14ac:dyDescent="0.3">
      <c r="A73" s="36" t="s">
        <v>491</v>
      </c>
      <c r="B73" s="37"/>
      <c r="C73" s="324">
        <v>104598.07481177142</v>
      </c>
      <c r="D73" s="325">
        <v>73064.829561811785</v>
      </c>
      <c r="E73" s="325">
        <v>54970.891664943294</v>
      </c>
      <c r="F73" s="325">
        <v>41001.890328491179</v>
      </c>
      <c r="G73" s="325">
        <v>28154.806302803332</v>
      </c>
      <c r="H73" s="326">
        <v>15096.047995725981</v>
      </c>
      <c r="I73" s="10">
        <f t="shared" ref="I73:I92" si="55">IFERROR(AVERAGE(C73:H73),0)</f>
        <v>52814.423444257838</v>
      </c>
      <c r="J73" s="39">
        <f t="shared" ref="J73:J81" si="56">SUM(C73:H73)</f>
        <v>316886.54066554701</v>
      </c>
      <c r="K73" s="2"/>
      <c r="L73" s="186"/>
      <c r="M73" s="2"/>
    </row>
    <row r="74" spans="1:13" ht="13.15" customHeight="1" x14ac:dyDescent="0.3">
      <c r="A74" s="36" t="s">
        <v>492</v>
      </c>
      <c r="B74" s="37"/>
      <c r="C74" s="324">
        <v>53948.344816113393</v>
      </c>
      <c r="D74" s="324">
        <v>53954.00855089262</v>
      </c>
      <c r="E74" s="324">
        <v>53956.876226006774</v>
      </c>
      <c r="F74" s="324">
        <v>54910.607884849946</v>
      </c>
      <c r="G74" s="324">
        <v>55591.363835883196</v>
      </c>
      <c r="H74" s="326">
        <v>55269.691692478256</v>
      </c>
      <c r="I74" s="39">
        <f t="shared" si="55"/>
        <v>54605.148834370695</v>
      </c>
      <c r="J74" s="39">
        <f t="shared" si="56"/>
        <v>327630.89300622419</v>
      </c>
      <c r="K74" s="2"/>
      <c r="L74" s="187"/>
      <c r="M74" s="2"/>
    </row>
    <row r="75" spans="1:13" x14ac:dyDescent="0.3">
      <c r="A75" s="36" t="s">
        <v>493</v>
      </c>
      <c r="B75" s="37"/>
      <c r="C75" s="324">
        <v>14474.775799999945</v>
      </c>
      <c r="D75" s="324">
        <v>14474.775799999945</v>
      </c>
      <c r="E75" s="324">
        <v>14474.775799999945</v>
      </c>
      <c r="F75" s="324">
        <v>14474.775799999945</v>
      </c>
      <c r="G75" s="324">
        <v>14474.775799999945</v>
      </c>
      <c r="H75" s="326">
        <v>14474.775799999945</v>
      </c>
      <c r="I75" s="39">
        <f t="shared" si="55"/>
        <v>14474.775799999945</v>
      </c>
      <c r="J75" s="39">
        <f t="shared" si="56"/>
        <v>86848.654799999669</v>
      </c>
      <c r="K75" s="2"/>
      <c r="L75" s="187"/>
      <c r="M75" s="2"/>
    </row>
    <row r="76" spans="1:13" x14ac:dyDescent="0.3">
      <c r="A76" s="36" t="s">
        <v>494</v>
      </c>
      <c r="B76" s="37"/>
      <c r="C76" s="324">
        <v>35676.901332126217</v>
      </c>
      <c r="D76" s="324">
        <v>67204.482847306499</v>
      </c>
      <c r="E76" s="324">
        <v>85295.553069061061</v>
      </c>
      <c r="F76" s="324">
        <v>98310.822746669757</v>
      </c>
      <c r="G76" s="324">
        <v>110477.15082132442</v>
      </c>
      <c r="H76" s="326">
        <v>123857.58127180694</v>
      </c>
      <c r="I76" s="39">
        <f t="shared" si="55"/>
        <v>86803.748681382494</v>
      </c>
      <c r="J76" s="39">
        <f t="shared" si="56"/>
        <v>520822.49208829494</v>
      </c>
      <c r="K76" s="2"/>
      <c r="L76" s="187"/>
      <c r="M76" s="2"/>
    </row>
    <row r="77" spans="1:13" x14ac:dyDescent="0.3">
      <c r="A77" s="116" t="s">
        <v>495</v>
      </c>
      <c r="B77" s="313"/>
      <c r="C77" s="294">
        <f>SUM(C78:C81)</f>
        <v>97001.317719998246</v>
      </c>
      <c r="D77" s="297">
        <f t="shared" ref="D77" si="57">SUM(D78:D81)</f>
        <v>97001.317719998246</v>
      </c>
      <c r="E77" s="297">
        <f t="shared" ref="E77" si="58">SUM(E78:E81)</f>
        <v>97001.317719998246</v>
      </c>
      <c r="F77" s="297">
        <f t="shared" ref="F77" si="59">SUM(F78:F81)</f>
        <v>97001.317719998246</v>
      </c>
      <c r="G77" s="297">
        <f t="shared" ref="G77" si="60">SUM(G78:G81)</f>
        <v>97001.317719998246</v>
      </c>
      <c r="H77" s="296">
        <f t="shared" ref="H77" si="61">SUM(H78:H81)</f>
        <v>97001.317719998246</v>
      </c>
      <c r="I77" s="62">
        <f t="shared" si="55"/>
        <v>97001.317719998246</v>
      </c>
      <c r="J77" s="62">
        <f t="shared" si="56"/>
        <v>582007.90631998947</v>
      </c>
      <c r="K77" s="2"/>
      <c r="L77" s="195"/>
      <c r="M77" s="2"/>
    </row>
    <row r="78" spans="1:13" x14ac:dyDescent="0.3">
      <c r="A78" s="36" t="s">
        <v>491</v>
      </c>
      <c r="B78" s="37"/>
      <c r="C78" s="324">
        <v>0</v>
      </c>
      <c r="D78" s="324">
        <v>0</v>
      </c>
      <c r="E78" s="324">
        <v>0</v>
      </c>
      <c r="F78" s="324">
        <v>0</v>
      </c>
      <c r="G78" s="324">
        <v>0</v>
      </c>
      <c r="H78" s="326">
        <v>0</v>
      </c>
      <c r="I78" s="39">
        <f t="shared" si="55"/>
        <v>0</v>
      </c>
      <c r="J78" s="39">
        <f t="shared" si="56"/>
        <v>0</v>
      </c>
      <c r="K78" s="2"/>
      <c r="L78" s="187"/>
      <c r="M78" s="2"/>
    </row>
    <row r="79" spans="1:13" x14ac:dyDescent="0.3">
      <c r="A79" s="36" t="s">
        <v>492</v>
      </c>
      <c r="B79" s="37"/>
      <c r="C79" s="324">
        <v>97001.317719998246</v>
      </c>
      <c r="D79" s="324">
        <v>97001.317719998246</v>
      </c>
      <c r="E79" s="324">
        <v>97001.317719998246</v>
      </c>
      <c r="F79" s="324">
        <v>97001.317719998246</v>
      </c>
      <c r="G79" s="324">
        <v>97001.317719998246</v>
      </c>
      <c r="H79" s="326">
        <v>97001.317719998246</v>
      </c>
      <c r="I79" s="39">
        <f t="shared" ref="I79" si="62">IFERROR(AVERAGE(C79:H79),0)</f>
        <v>97001.317719998246</v>
      </c>
      <c r="J79" s="39">
        <f t="shared" ref="J79" si="63">SUM(C79:H79)</f>
        <v>582007.90631998947</v>
      </c>
      <c r="K79" s="2"/>
      <c r="L79" s="187"/>
      <c r="M79" s="2"/>
    </row>
    <row r="80" spans="1:13" x14ac:dyDescent="0.3">
      <c r="A80" s="36" t="s">
        <v>493</v>
      </c>
      <c r="B80" s="37"/>
      <c r="C80" s="324">
        <v>0</v>
      </c>
      <c r="D80" s="324">
        <v>0</v>
      </c>
      <c r="E80" s="324">
        <v>0</v>
      </c>
      <c r="F80" s="324">
        <v>0</v>
      </c>
      <c r="G80" s="324">
        <v>0</v>
      </c>
      <c r="H80" s="326">
        <v>0</v>
      </c>
      <c r="I80" s="39">
        <f t="shared" si="55"/>
        <v>0</v>
      </c>
      <c r="J80" s="39">
        <f t="shared" si="56"/>
        <v>0</v>
      </c>
      <c r="K80" s="2"/>
      <c r="L80" s="187"/>
      <c r="M80" s="2"/>
    </row>
    <row r="81" spans="1:13" x14ac:dyDescent="0.3">
      <c r="A81" s="36" t="s">
        <v>494</v>
      </c>
      <c r="B81" s="37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8">
        <v>0</v>
      </c>
      <c r="I81" s="39">
        <f t="shared" si="55"/>
        <v>0</v>
      </c>
      <c r="J81" s="39">
        <f t="shared" si="56"/>
        <v>0</v>
      </c>
      <c r="K81" s="2"/>
      <c r="L81" s="187"/>
      <c r="M81" s="2"/>
    </row>
    <row r="82" spans="1:13" x14ac:dyDescent="0.3">
      <c r="A82" s="116" t="s">
        <v>496</v>
      </c>
      <c r="B82" s="313"/>
      <c r="C82" s="294">
        <f>SUM(C83:C86)</f>
        <v>0</v>
      </c>
      <c r="D82" s="297">
        <f t="shared" ref="D82:H82" si="64">SUM(D83:D86)</f>
        <v>0</v>
      </c>
      <c r="E82" s="297">
        <f t="shared" si="64"/>
        <v>0</v>
      </c>
      <c r="F82" s="297">
        <f t="shared" si="64"/>
        <v>0</v>
      </c>
      <c r="G82" s="297">
        <f t="shared" si="64"/>
        <v>0</v>
      </c>
      <c r="H82" s="296">
        <f t="shared" si="64"/>
        <v>0</v>
      </c>
      <c r="I82" s="62">
        <f t="shared" ref="I82:I91" si="65">IFERROR(AVERAGE(C82:H82),0)</f>
        <v>0</v>
      </c>
      <c r="J82" s="62">
        <f>SUM(C82:H82)</f>
        <v>0</v>
      </c>
      <c r="K82" s="2"/>
      <c r="L82" s="187"/>
      <c r="M82" s="2"/>
    </row>
    <row r="83" spans="1:13" x14ac:dyDescent="0.3">
      <c r="A83" s="36" t="s">
        <v>491</v>
      </c>
      <c r="B83" s="37"/>
      <c r="C83" s="324">
        <v>0</v>
      </c>
      <c r="D83" s="325">
        <v>0</v>
      </c>
      <c r="E83" s="325">
        <v>0</v>
      </c>
      <c r="F83" s="325">
        <v>0</v>
      </c>
      <c r="G83" s="325">
        <v>0</v>
      </c>
      <c r="H83" s="326">
        <v>0</v>
      </c>
      <c r="I83" s="10">
        <f t="shared" si="65"/>
        <v>0</v>
      </c>
      <c r="J83" s="39">
        <f t="shared" ref="J83:J91" si="66">SUM(C83:H83)</f>
        <v>0</v>
      </c>
      <c r="K83" s="2"/>
      <c r="L83" s="186"/>
      <c r="M83" s="2"/>
    </row>
    <row r="84" spans="1:13" ht="13.15" customHeight="1" x14ac:dyDescent="0.3">
      <c r="A84" s="36" t="s">
        <v>492</v>
      </c>
      <c r="B84" s="37"/>
      <c r="C84" s="324">
        <v>0</v>
      </c>
      <c r="D84" s="324">
        <v>0</v>
      </c>
      <c r="E84" s="324">
        <v>0</v>
      </c>
      <c r="F84" s="324">
        <v>0</v>
      </c>
      <c r="G84" s="324">
        <v>0</v>
      </c>
      <c r="H84" s="326">
        <v>0</v>
      </c>
      <c r="I84" s="39">
        <f t="shared" si="65"/>
        <v>0</v>
      </c>
      <c r="J84" s="39">
        <f t="shared" si="66"/>
        <v>0</v>
      </c>
      <c r="K84" s="2"/>
      <c r="L84" s="187"/>
      <c r="M84" s="2"/>
    </row>
    <row r="85" spans="1:13" x14ac:dyDescent="0.3">
      <c r="A85" s="36" t="s">
        <v>493</v>
      </c>
      <c r="B85" s="37"/>
      <c r="C85" s="324">
        <v>0</v>
      </c>
      <c r="D85" s="324">
        <v>0</v>
      </c>
      <c r="E85" s="324">
        <v>0</v>
      </c>
      <c r="F85" s="324">
        <v>0</v>
      </c>
      <c r="G85" s="324">
        <v>0</v>
      </c>
      <c r="H85" s="326">
        <v>0</v>
      </c>
      <c r="I85" s="39">
        <f t="shared" si="65"/>
        <v>0</v>
      </c>
      <c r="J85" s="39">
        <f t="shared" si="66"/>
        <v>0</v>
      </c>
      <c r="K85" s="2"/>
      <c r="L85" s="187"/>
      <c r="M85" s="2"/>
    </row>
    <row r="86" spans="1:13" x14ac:dyDescent="0.3">
      <c r="A86" s="36" t="s">
        <v>494</v>
      </c>
      <c r="B86" s="37"/>
      <c r="C86" s="324">
        <v>0</v>
      </c>
      <c r="D86" s="324">
        <v>0</v>
      </c>
      <c r="E86" s="324">
        <v>0</v>
      </c>
      <c r="F86" s="324">
        <v>0</v>
      </c>
      <c r="G86" s="324">
        <v>0</v>
      </c>
      <c r="H86" s="326">
        <v>0</v>
      </c>
      <c r="I86" s="39">
        <f t="shared" si="65"/>
        <v>0</v>
      </c>
      <c r="J86" s="39">
        <f t="shared" si="66"/>
        <v>0</v>
      </c>
      <c r="K86" s="2"/>
      <c r="L86" s="187"/>
      <c r="M86" s="2"/>
    </row>
    <row r="87" spans="1:13" x14ac:dyDescent="0.3">
      <c r="A87" s="116" t="s">
        <v>272</v>
      </c>
      <c r="B87" s="313"/>
      <c r="C87" s="294">
        <f>SUM(C88:C91)</f>
        <v>12826.998000000003</v>
      </c>
      <c r="D87" s="297">
        <f t="shared" ref="D87:H87" si="67">SUM(D88:D91)</f>
        <v>12826.998000000003</v>
      </c>
      <c r="E87" s="297">
        <f t="shared" si="67"/>
        <v>12826.998000000003</v>
      </c>
      <c r="F87" s="297">
        <f t="shared" si="67"/>
        <v>15940.537914873941</v>
      </c>
      <c r="G87" s="297">
        <f t="shared" si="67"/>
        <v>18140.384807999828</v>
      </c>
      <c r="H87" s="296">
        <f t="shared" si="67"/>
        <v>19177.640194733176</v>
      </c>
      <c r="I87" s="62">
        <f t="shared" si="65"/>
        <v>15289.926152934493</v>
      </c>
      <c r="J87" s="62">
        <f t="shared" si="66"/>
        <v>91739.556917606955</v>
      </c>
      <c r="K87" s="2"/>
      <c r="L87" s="195"/>
      <c r="M87" s="2"/>
    </row>
    <row r="88" spans="1:13" x14ac:dyDescent="0.3">
      <c r="A88" s="36" t="s">
        <v>491</v>
      </c>
      <c r="B88" s="37"/>
      <c r="C88" s="324">
        <v>12826.998000000003</v>
      </c>
      <c r="D88" s="324">
        <v>12826.998000000003</v>
      </c>
      <c r="E88" s="324">
        <v>12826.998000000003</v>
      </c>
      <c r="F88" s="324">
        <v>12826.998000000003</v>
      </c>
      <c r="G88" s="324">
        <v>12826.998000000003</v>
      </c>
      <c r="H88" s="326">
        <v>12826.998000000003</v>
      </c>
      <c r="I88" s="39">
        <f t="shared" si="65"/>
        <v>12826.998000000005</v>
      </c>
      <c r="J88" s="39">
        <f t="shared" si="66"/>
        <v>76961.988000000027</v>
      </c>
      <c r="K88" s="2"/>
      <c r="L88" s="187"/>
      <c r="M88" s="2"/>
    </row>
    <row r="89" spans="1:13" x14ac:dyDescent="0.3">
      <c r="A89" s="36" t="s">
        <v>492</v>
      </c>
      <c r="B89" s="37"/>
      <c r="C89" s="324">
        <v>0</v>
      </c>
      <c r="D89" s="324">
        <v>0</v>
      </c>
      <c r="E89" s="324">
        <v>0</v>
      </c>
      <c r="F89" s="324">
        <v>0</v>
      </c>
      <c r="G89" s="324">
        <v>0</v>
      </c>
      <c r="H89" s="326">
        <v>0</v>
      </c>
      <c r="I89" s="39">
        <f t="shared" si="65"/>
        <v>0</v>
      </c>
      <c r="J89" s="39">
        <f t="shared" si="66"/>
        <v>0</v>
      </c>
      <c r="K89" s="2"/>
      <c r="L89" s="187"/>
      <c r="M89" s="2"/>
    </row>
    <row r="90" spans="1:13" x14ac:dyDescent="0.3">
      <c r="A90" s="36" t="s">
        <v>493</v>
      </c>
      <c r="B90" s="37"/>
      <c r="C90" s="324">
        <v>0</v>
      </c>
      <c r="D90" s="324">
        <v>0</v>
      </c>
      <c r="E90" s="324">
        <v>0</v>
      </c>
      <c r="F90" s="324">
        <v>0</v>
      </c>
      <c r="G90" s="324">
        <v>0</v>
      </c>
      <c r="H90" s="326">
        <v>0</v>
      </c>
      <c r="I90" s="39">
        <f t="shared" si="65"/>
        <v>0</v>
      </c>
      <c r="J90" s="39">
        <f t="shared" si="66"/>
        <v>0</v>
      </c>
      <c r="K90" s="2"/>
      <c r="L90" s="187"/>
      <c r="M90" s="2"/>
    </row>
    <row r="91" spans="1:13" x14ac:dyDescent="0.3">
      <c r="A91" s="36" t="s">
        <v>494</v>
      </c>
      <c r="B91" s="37"/>
      <c r="C91" s="327">
        <v>0</v>
      </c>
      <c r="D91" s="327">
        <v>0</v>
      </c>
      <c r="E91" s="327">
        <v>0</v>
      </c>
      <c r="F91" s="327">
        <v>3113.5399148739371</v>
      </c>
      <c r="G91" s="327">
        <v>5313.3868079998238</v>
      </c>
      <c r="H91" s="328">
        <v>6350.6421947331719</v>
      </c>
      <c r="I91" s="39">
        <f t="shared" si="65"/>
        <v>2462.9281529344885</v>
      </c>
      <c r="J91" s="39">
        <f t="shared" si="66"/>
        <v>14777.568917606932</v>
      </c>
      <c r="K91" s="2"/>
      <c r="L91" s="187"/>
      <c r="M91" s="2"/>
    </row>
    <row r="92" spans="1:13" x14ac:dyDescent="0.3">
      <c r="A92" s="116" t="s">
        <v>274</v>
      </c>
      <c r="B92" s="313"/>
      <c r="C92" s="294">
        <f>SUM(C93:C96)</f>
        <v>26566.934039999112</v>
      </c>
      <c r="D92" s="297">
        <f t="shared" ref="D92:H92" si="68">SUM(D93:D96)</f>
        <v>26566.934039999112</v>
      </c>
      <c r="E92" s="297">
        <f t="shared" si="68"/>
        <v>26566.934039999112</v>
      </c>
      <c r="F92" s="297">
        <f t="shared" si="68"/>
        <v>23453.394125125182</v>
      </c>
      <c r="G92" s="297">
        <f t="shared" si="68"/>
        <v>21253.547231999291</v>
      </c>
      <c r="H92" s="296">
        <f t="shared" si="68"/>
        <v>20216.291845265951</v>
      </c>
      <c r="I92" s="62">
        <f t="shared" si="55"/>
        <v>24104.005887064628</v>
      </c>
      <c r="J92" s="62">
        <f>SUM(C92:H92)</f>
        <v>144624.03532238776</v>
      </c>
      <c r="K92" s="2"/>
      <c r="L92" s="187"/>
      <c r="M92" s="2"/>
    </row>
    <row r="93" spans="1:13" x14ac:dyDescent="0.3">
      <c r="A93" s="36" t="s">
        <v>491</v>
      </c>
      <c r="B93" s="37"/>
      <c r="C93" s="324">
        <v>8855.6446799997047</v>
      </c>
      <c r="D93" s="325">
        <v>8855.6446799997047</v>
      </c>
      <c r="E93" s="325">
        <v>8855.6446799997047</v>
      </c>
      <c r="F93" s="325">
        <v>5751.8042664182103</v>
      </c>
      <c r="G93" s="325">
        <v>3542.2578719998828</v>
      </c>
      <c r="H93" s="326">
        <v>2508.2368332139422</v>
      </c>
      <c r="I93" s="10">
        <f t="shared" ref="I93:I101" si="69">IFERROR(AVERAGE(C93:H93),0)</f>
        <v>6394.8721686051913</v>
      </c>
      <c r="J93" s="39">
        <f t="shared" ref="J93:J101" si="70">SUM(C93:H93)</f>
        <v>38369.23301163115</v>
      </c>
      <c r="K93" s="2"/>
      <c r="L93" s="186"/>
      <c r="M93" s="2"/>
    </row>
    <row r="94" spans="1:13" ht="13.15" customHeight="1" x14ac:dyDescent="0.3">
      <c r="A94" s="36" t="s">
        <v>492</v>
      </c>
      <c r="B94" s="37"/>
      <c r="C94" s="324">
        <v>17711.289359999409</v>
      </c>
      <c r="D94" s="324">
        <v>17711.289359999409</v>
      </c>
      <c r="E94" s="324">
        <v>17711.289359999409</v>
      </c>
      <c r="F94" s="324">
        <v>17701.589858706971</v>
      </c>
      <c r="G94" s="324">
        <v>17711.289359999409</v>
      </c>
      <c r="H94" s="326">
        <v>17708.055012052009</v>
      </c>
      <c r="I94" s="39">
        <f t="shared" si="69"/>
        <v>17709.133718459434</v>
      </c>
      <c r="J94" s="39">
        <f t="shared" si="70"/>
        <v>106254.80231075661</v>
      </c>
      <c r="K94" s="2"/>
      <c r="L94" s="187"/>
      <c r="M94" s="2"/>
    </row>
    <row r="95" spans="1:13" x14ac:dyDescent="0.3">
      <c r="A95" s="36" t="s">
        <v>493</v>
      </c>
      <c r="B95" s="37"/>
      <c r="C95" s="324">
        <v>0</v>
      </c>
      <c r="D95" s="324">
        <v>0</v>
      </c>
      <c r="E95" s="324">
        <v>0</v>
      </c>
      <c r="F95" s="324">
        <v>0</v>
      </c>
      <c r="G95" s="324">
        <v>0</v>
      </c>
      <c r="H95" s="326">
        <v>0</v>
      </c>
      <c r="I95" s="39">
        <f t="shared" si="69"/>
        <v>0</v>
      </c>
      <c r="J95" s="39">
        <f t="shared" si="70"/>
        <v>0</v>
      </c>
      <c r="K95" s="2"/>
      <c r="L95" s="187"/>
      <c r="M95" s="2"/>
    </row>
    <row r="96" spans="1:13" x14ac:dyDescent="0.3">
      <c r="A96" s="36" t="s">
        <v>494</v>
      </c>
      <c r="B96" s="37"/>
      <c r="C96" s="324">
        <v>0</v>
      </c>
      <c r="D96" s="324">
        <v>0</v>
      </c>
      <c r="E96" s="324">
        <v>0</v>
      </c>
      <c r="F96" s="324">
        <v>0</v>
      </c>
      <c r="G96" s="324">
        <v>0</v>
      </c>
      <c r="H96" s="326">
        <v>0</v>
      </c>
      <c r="I96" s="39">
        <f t="shared" si="69"/>
        <v>0</v>
      </c>
      <c r="J96" s="39">
        <f t="shared" si="70"/>
        <v>0</v>
      </c>
      <c r="K96" s="2"/>
      <c r="L96" s="187"/>
      <c r="M96" s="2"/>
    </row>
    <row r="97" spans="1:13" x14ac:dyDescent="0.3">
      <c r="A97" s="116" t="s">
        <v>462</v>
      </c>
      <c r="B97" s="313"/>
      <c r="C97" s="294">
        <f>SUM(C98:C101)</f>
        <v>0</v>
      </c>
      <c r="D97" s="297">
        <f t="shared" ref="D97:H97" si="71">SUM(D98:D101)</f>
        <v>0</v>
      </c>
      <c r="E97" s="297">
        <f t="shared" si="71"/>
        <v>0</v>
      </c>
      <c r="F97" s="297">
        <f t="shared" si="71"/>
        <v>0</v>
      </c>
      <c r="G97" s="297">
        <f t="shared" si="71"/>
        <v>0</v>
      </c>
      <c r="H97" s="296">
        <f t="shared" si="71"/>
        <v>0</v>
      </c>
      <c r="I97" s="62">
        <f t="shared" si="69"/>
        <v>0</v>
      </c>
      <c r="J97" s="62">
        <f t="shared" si="70"/>
        <v>0</v>
      </c>
      <c r="K97" s="2"/>
      <c r="L97" s="195"/>
      <c r="M97" s="2"/>
    </row>
    <row r="98" spans="1:13" x14ac:dyDescent="0.3">
      <c r="A98" s="36" t="s">
        <v>491</v>
      </c>
      <c r="B98" s="37"/>
      <c r="C98" s="324">
        <v>0</v>
      </c>
      <c r="D98" s="324">
        <v>0</v>
      </c>
      <c r="E98" s="324">
        <v>0</v>
      </c>
      <c r="F98" s="324">
        <v>0</v>
      </c>
      <c r="G98" s="324">
        <v>0</v>
      </c>
      <c r="H98" s="326">
        <v>0</v>
      </c>
      <c r="I98" s="39">
        <f t="shared" si="69"/>
        <v>0</v>
      </c>
      <c r="J98" s="39">
        <f t="shared" si="70"/>
        <v>0</v>
      </c>
      <c r="K98" s="2"/>
      <c r="L98" s="187"/>
      <c r="M98" s="2"/>
    </row>
    <row r="99" spans="1:13" x14ac:dyDescent="0.3">
      <c r="A99" s="36" t="s">
        <v>492</v>
      </c>
      <c r="B99" s="37"/>
      <c r="C99" s="324">
        <v>0</v>
      </c>
      <c r="D99" s="324">
        <v>0</v>
      </c>
      <c r="E99" s="324">
        <v>0</v>
      </c>
      <c r="F99" s="324">
        <v>0</v>
      </c>
      <c r="G99" s="324">
        <v>0</v>
      </c>
      <c r="H99" s="326">
        <v>0</v>
      </c>
      <c r="I99" s="39">
        <f t="shared" si="69"/>
        <v>0</v>
      </c>
      <c r="J99" s="39">
        <f t="shared" si="70"/>
        <v>0</v>
      </c>
      <c r="K99" s="2"/>
      <c r="L99" s="187"/>
      <c r="M99" s="2"/>
    </row>
    <row r="100" spans="1:13" x14ac:dyDescent="0.3">
      <c r="A100" s="36" t="s">
        <v>493</v>
      </c>
      <c r="B100" s="37"/>
      <c r="C100" s="324">
        <v>0</v>
      </c>
      <c r="D100" s="324">
        <v>0</v>
      </c>
      <c r="E100" s="324">
        <v>0</v>
      </c>
      <c r="F100" s="324">
        <v>0</v>
      </c>
      <c r="G100" s="324">
        <v>0</v>
      </c>
      <c r="H100" s="326">
        <v>0</v>
      </c>
      <c r="I100" s="39">
        <f t="shared" si="69"/>
        <v>0</v>
      </c>
      <c r="J100" s="39">
        <f t="shared" si="70"/>
        <v>0</v>
      </c>
      <c r="K100" s="2"/>
      <c r="L100" s="187"/>
      <c r="M100" s="2"/>
    </row>
    <row r="101" spans="1:13" x14ac:dyDescent="0.3">
      <c r="A101" s="36" t="s">
        <v>494</v>
      </c>
      <c r="B101" s="37"/>
      <c r="C101" s="327">
        <v>0</v>
      </c>
      <c r="D101" s="327">
        <v>0</v>
      </c>
      <c r="E101" s="327">
        <v>0</v>
      </c>
      <c r="F101" s="327">
        <v>0</v>
      </c>
      <c r="G101" s="327">
        <v>0</v>
      </c>
      <c r="H101" s="328">
        <v>0</v>
      </c>
      <c r="I101" s="39">
        <f t="shared" si="69"/>
        <v>0</v>
      </c>
      <c r="J101" s="39">
        <f t="shared" si="70"/>
        <v>0</v>
      </c>
      <c r="K101" s="2"/>
      <c r="L101" s="187"/>
      <c r="M101" s="2"/>
    </row>
    <row r="102" spans="1:13" x14ac:dyDescent="0.3">
      <c r="A102" s="18" t="s">
        <v>344</v>
      </c>
      <c r="B102" s="34"/>
      <c r="C102" s="60">
        <f t="shared" ref="C102:H102" si="72">C9+C40+C71</f>
        <v>8972427.0095202159</v>
      </c>
      <c r="D102" s="19">
        <f t="shared" si="72"/>
        <v>8972427.0095202141</v>
      </c>
      <c r="E102" s="19">
        <f t="shared" si="72"/>
        <v>8972427.0095202196</v>
      </c>
      <c r="F102" s="19">
        <f t="shared" si="72"/>
        <v>8972427.0095202141</v>
      </c>
      <c r="G102" s="19">
        <f t="shared" si="72"/>
        <v>8972427.0095202159</v>
      </c>
      <c r="H102" s="35">
        <f t="shared" si="72"/>
        <v>8972427.0095202215</v>
      </c>
      <c r="I102" s="35">
        <f t="shared" si="6"/>
        <v>8972427.0095202159</v>
      </c>
      <c r="J102" s="35">
        <f t="shared" si="7"/>
        <v>53834562.057121292</v>
      </c>
      <c r="K102" s="2"/>
      <c r="L102" s="195"/>
      <c r="M102" s="2"/>
    </row>
    <row r="103" spans="1:13" x14ac:dyDescent="0.3">
      <c r="F103" s="2"/>
      <c r="G103" s="2"/>
      <c r="H103" s="2"/>
      <c r="I103" s="2"/>
      <c r="J103" s="2"/>
      <c r="K103" s="2"/>
      <c r="L103" s="2"/>
      <c r="M103" s="2"/>
    </row>
    <row r="104" spans="1:13" ht="27.65" customHeight="1" x14ac:dyDescent="0.3">
      <c r="A104" s="691" t="s">
        <v>107</v>
      </c>
      <c r="B104" s="678"/>
      <c r="C104" s="3">
        <f>Annee</f>
        <v>2024</v>
      </c>
      <c r="D104" s="291">
        <f>C104+1</f>
        <v>2025</v>
      </c>
      <c r="E104" s="291">
        <f t="shared" ref="E104:G104" si="73">D104+1</f>
        <v>2026</v>
      </c>
      <c r="F104" s="291">
        <f t="shared" si="73"/>
        <v>2027</v>
      </c>
      <c r="G104" s="291">
        <f t="shared" si="73"/>
        <v>2028</v>
      </c>
      <c r="H104" s="295">
        <f>G104+1</f>
        <v>2029</v>
      </c>
      <c r="I104" s="179" t="s">
        <v>271</v>
      </c>
      <c r="J104" s="179" t="s">
        <v>62</v>
      </c>
      <c r="K104" s="2"/>
      <c r="L104" s="683" t="s">
        <v>305</v>
      </c>
      <c r="M104" s="2"/>
    </row>
    <row r="105" spans="1:13" x14ac:dyDescent="0.3">
      <c r="A105" s="692"/>
      <c r="B105" s="679"/>
      <c r="C105" s="77">
        <v>12</v>
      </c>
      <c r="D105" s="77">
        <v>12</v>
      </c>
      <c r="E105" s="77">
        <v>12</v>
      </c>
      <c r="F105" s="77">
        <v>12</v>
      </c>
      <c r="G105" s="77">
        <v>12</v>
      </c>
      <c r="H105" s="77">
        <v>12</v>
      </c>
      <c r="I105" s="78">
        <f t="shared" ref="I105:I136" si="74">IFERROR(AVERAGE(C105:H105),0)</f>
        <v>12</v>
      </c>
      <c r="J105" s="78">
        <f t="shared" ref="J105:J136" si="75">SUM(C105:H105)</f>
        <v>72</v>
      </c>
      <c r="K105" s="2"/>
      <c r="L105" s="699"/>
      <c r="M105" s="2"/>
    </row>
    <row r="106" spans="1:13" x14ac:dyDescent="0.3">
      <c r="A106" s="115" t="s">
        <v>273</v>
      </c>
      <c r="B106" s="53"/>
      <c r="C106" s="223">
        <f>SUM(C107:C110)</f>
        <v>110.71311475409838</v>
      </c>
      <c r="D106" s="221">
        <f t="shared" ref="D106" si="76">SUM(D107:D110)</f>
        <v>113.43835616438358</v>
      </c>
      <c r="E106" s="221">
        <f t="shared" ref="E106" si="77">SUM(E107:E110)</f>
        <v>111.27123287671235</v>
      </c>
      <c r="F106" s="221">
        <f t="shared" ref="F106" si="78">SUM(F107:F110)</f>
        <v>109.44383561643838</v>
      </c>
      <c r="G106" s="221">
        <f t="shared" ref="G106" si="79">SUM(G107:G110)</f>
        <v>109.00819672131148</v>
      </c>
      <c r="H106" s="222">
        <f t="shared" ref="H106" si="80">SUM(H107:H110)</f>
        <v>109.0219178082192</v>
      </c>
      <c r="I106" s="301">
        <f t="shared" si="74"/>
        <v>110.48277565686055</v>
      </c>
      <c r="J106" s="301">
        <f t="shared" si="75"/>
        <v>662.89665394116332</v>
      </c>
      <c r="K106" s="2"/>
      <c r="L106" s="187"/>
      <c r="M106" s="2"/>
    </row>
    <row r="107" spans="1:13" x14ac:dyDescent="0.3">
      <c r="A107" s="36" t="s">
        <v>491</v>
      </c>
      <c r="B107" s="37"/>
      <c r="C107" s="324">
        <v>56.434426229508205</v>
      </c>
      <c r="D107" s="325">
        <v>45.747945205479446</v>
      </c>
      <c r="E107" s="325">
        <v>35.580821917808223</v>
      </c>
      <c r="F107" s="325">
        <v>24.580821917808219</v>
      </c>
      <c r="G107" s="325">
        <v>18.254098360655739</v>
      </c>
      <c r="H107" s="326">
        <v>12.331506849315069</v>
      </c>
      <c r="I107" s="10">
        <f t="shared" si="74"/>
        <v>32.154936746762488</v>
      </c>
      <c r="J107" s="39">
        <f t="shared" si="75"/>
        <v>192.92962048057493</v>
      </c>
      <c r="K107" s="2"/>
      <c r="L107" s="186"/>
      <c r="M107" s="2"/>
    </row>
    <row r="108" spans="1:13" ht="13.15" customHeight="1" x14ac:dyDescent="0.3">
      <c r="A108" s="36" t="s">
        <v>492</v>
      </c>
      <c r="B108" s="37"/>
      <c r="C108" s="324">
        <v>36</v>
      </c>
      <c r="D108" s="324">
        <v>36</v>
      </c>
      <c r="E108" s="324">
        <v>36</v>
      </c>
      <c r="F108" s="324">
        <v>36</v>
      </c>
      <c r="G108" s="324">
        <v>36</v>
      </c>
      <c r="H108" s="326">
        <v>36</v>
      </c>
      <c r="I108" s="39">
        <f t="shared" si="74"/>
        <v>36</v>
      </c>
      <c r="J108" s="39">
        <f t="shared" si="75"/>
        <v>216</v>
      </c>
      <c r="K108" s="2"/>
      <c r="L108" s="187"/>
      <c r="M108" s="2"/>
    </row>
    <row r="109" spans="1:13" x14ac:dyDescent="0.3">
      <c r="A109" s="36" t="s">
        <v>493</v>
      </c>
      <c r="B109" s="37"/>
      <c r="C109" s="324">
        <v>7.754098360655739</v>
      </c>
      <c r="D109" s="324">
        <v>9</v>
      </c>
      <c r="E109" s="324">
        <v>9</v>
      </c>
      <c r="F109" s="324">
        <v>9</v>
      </c>
      <c r="G109" s="324">
        <v>9</v>
      </c>
      <c r="H109" s="326">
        <v>9</v>
      </c>
      <c r="I109" s="39">
        <f t="shared" si="74"/>
        <v>8.7923497267759565</v>
      </c>
      <c r="J109" s="39">
        <f t="shared" si="75"/>
        <v>52.754098360655739</v>
      </c>
      <c r="K109" s="2"/>
      <c r="L109" s="187"/>
      <c r="M109" s="2"/>
    </row>
    <row r="110" spans="1:13" x14ac:dyDescent="0.3">
      <c r="A110" s="36" t="s">
        <v>494</v>
      </c>
      <c r="B110" s="37"/>
      <c r="C110" s="324">
        <v>10.52459016393443</v>
      </c>
      <c r="D110" s="324">
        <v>22.690410958904124</v>
      </c>
      <c r="E110" s="324">
        <v>30.690410958904124</v>
      </c>
      <c r="F110" s="324">
        <v>39.863013698630155</v>
      </c>
      <c r="G110" s="324">
        <v>45.754098360655739</v>
      </c>
      <c r="H110" s="326">
        <v>51.690410958904124</v>
      </c>
      <c r="I110" s="39">
        <f t="shared" si="74"/>
        <v>33.53548918332212</v>
      </c>
      <c r="J110" s="39">
        <f t="shared" si="75"/>
        <v>201.21293509993271</v>
      </c>
      <c r="K110" s="2"/>
      <c r="L110" s="187"/>
      <c r="M110" s="2"/>
    </row>
    <row r="111" spans="1:13" x14ac:dyDescent="0.3">
      <c r="A111" s="115" t="s">
        <v>495</v>
      </c>
      <c r="B111" s="53"/>
      <c r="C111" s="223">
        <f>SUM(C112:C115)</f>
        <v>41</v>
      </c>
      <c r="D111" s="221">
        <f t="shared" ref="D111" si="81">SUM(D112:D115)</f>
        <v>41</v>
      </c>
      <c r="E111" s="221">
        <f t="shared" ref="E111" si="82">SUM(E112:E115)</f>
        <v>41</v>
      </c>
      <c r="F111" s="221">
        <f t="shared" ref="F111" si="83">SUM(F112:F115)</f>
        <v>41</v>
      </c>
      <c r="G111" s="221">
        <f t="shared" ref="G111" si="84">SUM(G112:G115)</f>
        <v>41</v>
      </c>
      <c r="H111" s="222">
        <f t="shared" ref="H111" si="85">SUM(H112:H115)</f>
        <v>41</v>
      </c>
      <c r="I111" s="301">
        <f t="shared" si="74"/>
        <v>41</v>
      </c>
      <c r="J111" s="301">
        <f t="shared" si="75"/>
        <v>246</v>
      </c>
      <c r="K111" s="2"/>
      <c r="L111" s="195"/>
      <c r="M111" s="2"/>
    </row>
    <row r="112" spans="1:13" x14ac:dyDescent="0.3">
      <c r="A112" s="36" t="s">
        <v>491</v>
      </c>
      <c r="B112" s="37"/>
      <c r="C112" s="324">
        <v>0</v>
      </c>
      <c r="D112" s="324">
        <v>0</v>
      </c>
      <c r="E112" s="324">
        <v>0</v>
      </c>
      <c r="F112" s="324">
        <v>0</v>
      </c>
      <c r="G112" s="324">
        <v>0</v>
      </c>
      <c r="H112" s="326">
        <v>0</v>
      </c>
      <c r="I112" s="39">
        <f t="shared" si="74"/>
        <v>0</v>
      </c>
      <c r="J112" s="39">
        <f t="shared" si="75"/>
        <v>0</v>
      </c>
      <c r="K112" s="2"/>
      <c r="L112" s="187"/>
      <c r="M112" s="2"/>
    </row>
    <row r="113" spans="1:13" x14ac:dyDescent="0.3">
      <c r="A113" s="36" t="s">
        <v>492</v>
      </c>
      <c r="B113" s="37"/>
      <c r="C113" s="324">
        <v>41</v>
      </c>
      <c r="D113" s="324">
        <v>41</v>
      </c>
      <c r="E113" s="324">
        <v>41</v>
      </c>
      <c r="F113" s="324">
        <v>41</v>
      </c>
      <c r="G113" s="324">
        <v>41</v>
      </c>
      <c r="H113" s="326">
        <v>41</v>
      </c>
      <c r="I113" s="39">
        <f t="shared" ref="I113" si="86">IFERROR(AVERAGE(C113:H113),0)</f>
        <v>41</v>
      </c>
      <c r="J113" s="39">
        <f t="shared" ref="J113" si="87">SUM(C113:H113)</f>
        <v>246</v>
      </c>
      <c r="K113" s="2"/>
      <c r="L113" s="187"/>
      <c r="M113" s="2"/>
    </row>
    <row r="114" spans="1:13" x14ac:dyDescent="0.3">
      <c r="A114" s="36" t="s">
        <v>493</v>
      </c>
      <c r="B114" s="37"/>
      <c r="C114" s="324">
        <v>0</v>
      </c>
      <c r="D114" s="324">
        <v>0</v>
      </c>
      <c r="E114" s="324">
        <v>0</v>
      </c>
      <c r="F114" s="324">
        <v>0</v>
      </c>
      <c r="G114" s="324">
        <v>0</v>
      </c>
      <c r="H114" s="326">
        <v>0</v>
      </c>
      <c r="I114" s="39">
        <f t="shared" si="74"/>
        <v>0</v>
      </c>
      <c r="J114" s="39">
        <f t="shared" si="75"/>
        <v>0</v>
      </c>
      <c r="K114" s="2"/>
      <c r="L114" s="187"/>
      <c r="M114" s="2"/>
    </row>
    <row r="115" spans="1:13" x14ac:dyDescent="0.3">
      <c r="A115" s="36" t="s">
        <v>494</v>
      </c>
      <c r="B115" s="37"/>
      <c r="C115" s="327">
        <v>0</v>
      </c>
      <c r="D115" s="327">
        <v>0</v>
      </c>
      <c r="E115" s="327">
        <v>0</v>
      </c>
      <c r="F115" s="327">
        <v>0</v>
      </c>
      <c r="G115" s="327">
        <v>0</v>
      </c>
      <c r="H115" s="328">
        <v>0</v>
      </c>
      <c r="I115" s="39">
        <f t="shared" si="74"/>
        <v>0</v>
      </c>
      <c r="J115" s="39">
        <f t="shared" si="75"/>
        <v>0</v>
      </c>
      <c r="K115" s="2"/>
      <c r="L115" s="187"/>
      <c r="M115" s="2"/>
    </row>
    <row r="116" spans="1:13" x14ac:dyDescent="0.3">
      <c r="A116" s="115" t="s">
        <v>496</v>
      </c>
      <c r="B116" s="53"/>
      <c r="C116" s="223">
        <f>SUM(C117:C120)</f>
        <v>0</v>
      </c>
      <c r="D116" s="221">
        <f t="shared" ref="D116:H116" si="88">SUM(D117:D120)</f>
        <v>0</v>
      </c>
      <c r="E116" s="221">
        <f t="shared" si="88"/>
        <v>0</v>
      </c>
      <c r="F116" s="221">
        <f t="shared" si="88"/>
        <v>0</v>
      </c>
      <c r="G116" s="221">
        <f t="shared" si="88"/>
        <v>0</v>
      </c>
      <c r="H116" s="222">
        <f t="shared" si="88"/>
        <v>0</v>
      </c>
      <c r="I116" s="301">
        <f t="shared" si="74"/>
        <v>0</v>
      </c>
      <c r="J116" s="301">
        <f t="shared" si="75"/>
        <v>0</v>
      </c>
      <c r="K116" s="2"/>
      <c r="L116" s="187"/>
      <c r="M116" s="2"/>
    </row>
    <row r="117" spans="1:13" x14ac:dyDescent="0.3">
      <c r="A117" s="36" t="s">
        <v>491</v>
      </c>
      <c r="B117" s="37"/>
      <c r="C117" s="324">
        <v>0</v>
      </c>
      <c r="D117" s="325">
        <v>0</v>
      </c>
      <c r="E117" s="325">
        <v>0</v>
      </c>
      <c r="F117" s="325">
        <v>0</v>
      </c>
      <c r="G117" s="325">
        <v>0</v>
      </c>
      <c r="H117" s="326">
        <v>0</v>
      </c>
      <c r="I117" s="10">
        <f t="shared" si="74"/>
        <v>0</v>
      </c>
      <c r="J117" s="39">
        <f t="shared" si="75"/>
        <v>0</v>
      </c>
      <c r="K117" s="2"/>
      <c r="L117" s="186"/>
      <c r="M117" s="2"/>
    </row>
    <row r="118" spans="1:13" ht="13.15" customHeight="1" x14ac:dyDescent="0.3">
      <c r="A118" s="36" t="s">
        <v>492</v>
      </c>
      <c r="B118" s="37"/>
      <c r="C118" s="324">
        <v>0</v>
      </c>
      <c r="D118" s="324">
        <v>0</v>
      </c>
      <c r="E118" s="324">
        <v>0</v>
      </c>
      <c r="F118" s="324">
        <v>0</v>
      </c>
      <c r="G118" s="324">
        <v>0</v>
      </c>
      <c r="H118" s="326">
        <v>0</v>
      </c>
      <c r="I118" s="39">
        <f t="shared" si="74"/>
        <v>0</v>
      </c>
      <c r="J118" s="39">
        <f t="shared" si="75"/>
        <v>0</v>
      </c>
      <c r="K118" s="2"/>
      <c r="L118" s="187"/>
      <c r="M118" s="2"/>
    </row>
    <row r="119" spans="1:13" x14ac:dyDescent="0.3">
      <c r="A119" s="36" t="s">
        <v>493</v>
      </c>
      <c r="B119" s="37"/>
      <c r="C119" s="324">
        <v>0</v>
      </c>
      <c r="D119" s="324">
        <v>0</v>
      </c>
      <c r="E119" s="324">
        <v>0</v>
      </c>
      <c r="F119" s="324">
        <v>0</v>
      </c>
      <c r="G119" s="324">
        <v>0</v>
      </c>
      <c r="H119" s="326">
        <v>0</v>
      </c>
      <c r="I119" s="39">
        <f t="shared" si="74"/>
        <v>0</v>
      </c>
      <c r="J119" s="39">
        <f t="shared" si="75"/>
        <v>0</v>
      </c>
      <c r="K119" s="2"/>
      <c r="L119" s="187"/>
      <c r="M119" s="2"/>
    </row>
    <row r="120" spans="1:13" x14ac:dyDescent="0.3">
      <c r="A120" s="36" t="s">
        <v>494</v>
      </c>
      <c r="B120" s="37"/>
      <c r="C120" s="324">
        <v>0</v>
      </c>
      <c r="D120" s="324">
        <v>0</v>
      </c>
      <c r="E120" s="324">
        <v>0</v>
      </c>
      <c r="F120" s="324">
        <v>0</v>
      </c>
      <c r="G120" s="324">
        <v>0</v>
      </c>
      <c r="H120" s="326">
        <v>0</v>
      </c>
      <c r="I120" s="39">
        <f t="shared" si="74"/>
        <v>0</v>
      </c>
      <c r="J120" s="39">
        <f t="shared" si="75"/>
        <v>0</v>
      </c>
      <c r="K120" s="2"/>
      <c r="L120" s="187"/>
      <c r="M120" s="2"/>
    </row>
    <row r="121" spans="1:13" x14ac:dyDescent="0.3">
      <c r="A121" s="115" t="s">
        <v>272</v>
      </c>
      <c r="B121" s="53"/>
      <c r="C121" s="223">
        <f>SUM(C122:C125)</f>
        <v>11</v>
      </c>
      <c r="D121" s="221">
        <f t="shared" ref="D121:H121" si="89">SUM(D122:D125)</f>
        <v>11</v>
      </c>
      <c r="E121" s="221">
        <f t="shared" si="89"/>
        <v>11</v>
      </c>
      <c r="F121" s="221">
        <f t="shared" si="89"/>
        <v>11</v>
      </c>
      <c r="G121" s="221">
        <f t="shared" si="89"/>
        <v>12.754098360655737</v>
      </c>
      <c r="H121" s="222">
        <f t="shared" si="89"/>
        <v>14</v>
      </c>
      <c r="I121" s="301">
        <f t="shared" si="74"/>
        <v>11.792349726775958</v>
      </c>
      <c r="J121" s="301">
        <f t="shared" si="75"/>
        <v>70.754098360655746</v>
      </c>
      <c r="K121" s="2"/>
      <c r="L121" s="195"/>
      <c r="M121" s="2"/>
    </row>
    <row r="122" spans="1:13" x14ac:dyDescent="0.3">
      <c r="A122" s="36" t="s">
        <v>491</v>
      </c>
      <c r="B122" s="37"/>
      <c r="C122" s="324">
        <v>11</v>
      </c>
      <c r="D122" s="324">
        <v>11</v>
      </c>
      <c r="E122" s="324">
        <v>11</v>
      </c>
      <c r="F122" s="324">
        <v>11</v>
      </c>
      <c r="G122" s="324">
        <v>11</v>
      </c>
      <c r="H122" s="326">
        <v>11</v>
      </c>
      <c r="I122" s="39">
        <f t="shared" si="74"/>
        <v>11</v>
      </c>
      <c r="J122" s="39">
        <f t="shared" si="75"/>
        <v>66</v>
      </c>
      <c r="K122" s="2"/>
      <c r="L122" s="187"/>
      <c r="M122" s="2"/>
    </row>
    <row r="123" spans="1:13" x14ac:dyDescent="0.3">
      <c r="A123" s="36" t="s">
        <v>492</v>
      </c>
      <c r="B123" s="37"/>
      <c r="C123" s="324">
        <v>0</v>
      </c>
      <c r="D123" s="324">
        <v>0</v>
      </c>
      <c r="E123" s="324">
        <v>0</v>
      </c>
      <c r="F123" s="324">
        <v>0</v>
      </c>
      <c r="G123" s="324">
        <v>0</v>
      </c>
      <c r="H123" s="326">
        <v>0</v>
      </c>
      <c r="I123" s="39">
        <f t="shared" si="74"/>
        <v>0</v>
      </c>
      <c r="J123" s="39">
        <f t="shared" si="75"/>
        <v>0</v>
      </c>
      <c r="K123" s="2"/>
      <c r="L123" s="187"/>
      <c r="M123" s="2"/>
    </row>
    <row r="124" spans="1:13" x14ac:dyDescent="0.3">
      <c r="A124" s="36" t="s">
        <v>493</v>
      </c>
      <c r="B124" s="37"/>
      <c r="C124" s="324">
        <v>0</v>
      </c>
      <c r="D124" s="324">
        <v>0</v>
      </c>
      <c r="E124" s="324">
        <v>0</v>
      </c>
      <c r="F124" s="324">
        <v>0</v>
      </c>
      <c r="G124" s="324">
        <v>0</v>
      </c>
      <c r="H124" s="326">
        <v>0</v>
      </c>
      <c r="I124" s="39">
        <f t="shared" si="74"/>
        <v>0</v>
      </c>
      <c r="J124" s="39">
        <f t="shared" si="75"/>
        <v>0</v>
      </c>
      <c r="K124" s="2"/>
      <c r="L124" s="187"/>
      <c r="M124" s="2"/>
    </row>
    <row r="125" spans="1:13" x14ac:dyDescent="0.3">
      <c r="A125" s="36" t="s">
        <v>494</v>
      </c>
      <c r="B125" s="37"/>
      <c r="C125" s="327">
        <v>0</v>
      </c>
      <c r="D125" s="327">
        <v>0</v>
      </c>
      <c r="E125" s="327">
        <v>0</v>
      </c>
      <c r="F125" s="327">
        <v>0</v>
      </c>
      <c r="G125" s="327">
        <v>1.7540983606557377</v>
      </c>
      <c r="H125" s="328">
        <v>3</v>
      </c>
      <c r="I125" s="39">
        <f t="shared" si="74"/>
        <v>0.79234972677595616</v>
      </c>
      <c r="J125" s="39">
        <f t="shared" si="75"/>
        <v>4.7540983606557372</v>
      </c>
      <c r="K125" s="2"/>
      <c r="L125" s="187"/>
      <c r="M125" s="2"/>
    </row>
    <row r="126" spans="1:13" x14ac:dyDescent="0.3">
      <c r="A126" s="115" t="s">
        <v>274</v>
      </c>
      <c r="B126" s="53"/>
      <c r="C126" s="223">
        <f>SUM(C127:C130)</f>
        <v>15</v>
      </c>
      <c r="D126" s="221">
        <f t="shared" ref="D126:H126" si="90">SUM(D127:D130)</f>
        <v>15</v>
      </c>
      <c r="E126" s="221">
        <f t="shared" si="90"/>
        <v>15</v>
      </c>
      <c r="F126" s="221">
        <f t="shared" si="90"/>
        <v>15</v>
      </c>
      <c r="G126" s="221">
        <f t="shared" si="90"/>
        <v>13.254098360655737</v>
      </c>
      <c r="H126" s="222">
        <f t="shared" si="90"/>
        <v>12</v>
      </c>
      <c r="I126" s="301">
        <f t="shared" ref="I126:I135" si="91">IFERROR(AVERAGE(C126:H126),0)</f>
        <v>14.209016393442623</v>
      </c>
      <c r="J126" s="301">
        <f t="shared" ref="J126:J135" si="92">SUM(C126:H126)</f>
        <v>85.254098360655732</v>
      </c>
      <c r="K126" s="2"/>
      <c r="L126" s="187"/>
      <c r="M126" s="2"/>
    </row>
    <row r="127" spans="1:13" x14ac:dyDescent="0.3">
      <c r="A127" s="36" t="s">
        <v>491</v>
      </c>
      <c r="B127" s="37"/>
      <c r="C127" s="324">
        <v>5</v>
      </c>
      <c r="D127" s="325">
        <v>5</v>
      </c>
      <c r="E127" s="325">
        <v>5</v>
      </c>
      <c r="F127" s="325">
        <v>5</v>
      </c>
      <c r="G127" s="325">
        <v>3.2540983606557377</v>
      </c>
      <c r="H127" s="326">
        <v>2</v>
      </c>
      <c r="I127" s="10">
        <f t="shared" si="91"/>
        <v>4.2090163934426235</v>
      </c>
      <c r="J127" s="39">
        <f t="shared" si="92"/>
        <v>25.254098360655739</v>
      </c>
      <c r="K127" s="2"/>
      <c r="L127" s="186"/>
      <c r="M127" s="2"/>
    </row>
    <row r="128" spans="1:13" ht="13.15" customHeight="1" x14ac:dyDescent="0.3">
      <c r="A128" s="36" t="s">
        <v>492</v>
      </c>
      <c r="B128" s="37"/>
      <c r="C128" s="324">
        <v>10</v>
      </c>
      <c r="D128" s="324">
        <v>10</v>
      </c>
      <c r="E128" s="324">
        <v>10</v>
      </c>
      <c r="F128" s="324">
        <v>10</v>
      </c>
      <c r="G128" s="324">
        <v>10</v>
      </c>
      <c r="H128" s="326">
        <v>10</v>
      </c>
      <c r="I128" s="39">
        <f t="shared" si="91"/>
        <v>10</v>
      </c>
      <c r="J128" s="39">
        <f t="shared" si="92"/>
        <v>60</v>
      </c>
      <c r="K128" s="2"/>
      <c r="L128" s="187"/>
      <c r="M128" s="2"/>
    </row>
    <row r="129" spans="1:24" x14ac:dyDescent="0.3">
      <c r="A129" s="36" t="s">
        <v>493</v>
      </c>
      <c r="B129" s="37"/>
      <c r="C129" s="324">
        <v>0</v>
      </c>
      <c r="D129" s="324">
        <v>0</v>
      </c>
      <c r="E129" s="324">
        <v>0</v>
      </c>
      <c r="F129" s="324">
        <v>0</v>
      </c>
      <c r="G129" s="324">
        <v>0</v>
      </c>
      <c r="H129" s="326">
        <v>0</v>
      </c>
      <c r="I129" s="39">
        <f t="shared" si="91"/>
        <v>0</v>
      </c>
      <c r="J129" s="39">
        <f t="shared" si="92"/>
        <v>0</v>
      </c>
      <c r="K129" s="2"/>
      <c r="L129" s="187"/>
      <c r="M129" s="2"/>
    </row>
    <row r="130" spans="1:24" x14ac:dyDescent="0.3">
      <c r="A130" s="36" t="s">
        <v>494</v>
      </c>
      <c r="B130" s="37"/>
      <c r="C130" s="324">
        <v>0</v>
      </c>
      <c r="D130" s="324">
        <v>0</v>
      </c>
      <c r="E130" s="324">
        <v>0</v>
      </c>
      <c r="F130" s="324">
        <v>0</v>
      </c>
      <c r="G130" s="324">
        <v>0</v>
      </c>
      <c r="H130" s="326">
        <v>0</v>
      </c>
      <c r="I130" s="39">
        <f t="shared" si="91"/>
        <v>0</v>
      </c>
      <c r="J130" s="39">
        <f t="shared" si="92"/>
        <v>0</v>
      </c>
      <c r="K130" s="2"/>
      <c r="L130" s="187"/>
      <c r="M130" s="2"/>
    </row>
    <row r="131" spans="1:24" x14ac:dyDescent="0.3">
      <c r="A131" s="115" t="s">
        <v>462</v>
      </c>
      <c r="B131" s="53"/>
      <c r="C131" s="223">
        <f>SUM(C132:C135)</f>
        <v>0</v>
      </c>
      <c r="D131" s="221">
        <f t="shared" ref="D131:H131" si="93">SUM(D132:D135)</f>
        <v>0</v>
      </c>
      <c r="E131" s="221">
        <f t="shared" si="93"/>
        <v>0</v>
      </c>
      <c r="F131" s="221">
        <f t="shared" si="93"/>
        <v>0</v>
      </c>
      <c r="G131" s="221">
        <f t="shared" si="93"/>
        <v>0</v>
      </c>
      <c r="H131" s="222">
        <f t="shared" si="93"/>
        <v>0</v>
      </c>
      <c r="I131" s="301">
        <f t="shared" si="91"/>
        <v>0</v>
      </c>
      <c r="J131" s="301">
        <f t="shared" si="92"/>
        <v>0</v>
      </c>
      <c r="K131" s="2"/>
      <c r="L131" s="195"/>
      <c r="M131" s="2"/>
    </row>
    <row r="132" spans="1:24" x14ac:dyDescent="0.3">
      <c r="A132" s="36" t="s">
        <v>491</v>
      </c>
      <c r="B132" s="37"/>
      <c r="C132" s="324">
        <v>0</v>
      </c>
      <c r="D132" s="324">
        <v>0</v>
      </c>
      <c r="E132" s="324">
        <v>0</v>
      </c>
      <c r="F132" s="324">
        <v>0</v>
      </c>
      <c r="G132" s="324">
        <v>0</v>
      </c>
      <c r="H132" s="326">
        <v>0</v>
      </c>
      <c r="I132" s="39">
        <f t="shared" si="91"/>
        <v>0</v>
      </c>
      <c r="J132" s="39">
        <f t="shared" si="92"/>
        <v>0</v>
      </c>
      <c r="K132" s="2"/>
      <c r="L132" s="187"/>
      <c r="M132" s="2"/>
    </row>
    <row r="133" spans="1:24" x14ac:dyDescent="0.3">
      <c r="A133" s="36" t="s">
        <v>492</v>
      </c>
      <c r="B133" s="37"/>
      <c r="C133" s="324">
        <v>0</v>
      </c>
      <c r="D133" s="324">
        <v>0</v>
      </c>
      <c r="E133" s="324">
        <v>0</v>
      </c>
      <c r="F133" s="324">
        <v>0</v>
      </c>
      <c r="G133" s="324">
        <v>0</v>
      </c>
      <c r="H133" s="326">
        <v>0</v>
      </c>
      <c r="I133" s="39">
        <f t="shared" si="91"/>
        <v>0</v>
      </c>
      <c r="J133" s="39">
        <f t="shared" si="92"/>
        <v>0</v>
      </c>
      <c r="K133" s="2"/>
      <c r="L133" s="187"/>
      <c r="M133" s="2"/>
    </row>
    <row r="134" spans="1:24" x14ac:dyDescent="0.3">
      <c r="A134" s="36" t="s">
        <v>493</v>
      </c>
      <c r="B134" s="37"/>
      <c r="C134" s="324">
        <v>0</v>
      </c>
      <c r="D134" s="324">
        <v>0</v>
      </c>
      <c r="E134" s="324">
        <v>0</v>
      </c>
      <c r="F134" s="324">
        <v>0</v>
      </c>
      <c r="G134" s="324">
        <v>0</v>
      </c>
      <c r="H134" s="326">
        <v>0</v>
      </c>
      <c r="I134" s="39">
        <f t="shared" si="91"/>
        <v>0</v>
      </c>
      <c r="J134" s="39">
        <f t="shared" si="92"/>
        <v>0</v>
      </c>
      <c r="K134" s="2"/>
      <c r="L134" s="187"/>
      <c r="M134" s="2"/>
    </row>
    <row r="135" spans="1:24" x14ac:dyDescent="0.3">
      <c r="A135" s="36" t="s">
        <v>494</v>
      </c>
      <c r="B135" s="37"/>
      <c r="C135" s="327">
        <v>0</v>
      </c>
      <c r="D135" s="327">
        <v>0</v>
      </c>
      <c r="E135" s="327">
        <v>0</v>
      </c>
      <c r="F135" s="327">
        <v>0</v>
      </c>
      <c r="G135" s="327">
        <v>0</v>
      </c>
      <c r="H135" s="328">
        <v>0</v>
      </c>
      <c r="I135" s="39">
        <f t="shared" si="91"/>
        <v>0</v>
      </c>
      <c r="J135" s="39">
        <f t="shared" si="92"/>
        <v>0</v>
      </c>
      <c r="K135" s="2"/>
      <c r="L135" s="187"/>
      <c r="M135" s="2"/>
    </row>
    <row r="136" spans="1:24" x14ac:dyDescent="0.3">
      <c r="A136" s="18" t="s">
        <v>345</v>
      </c>
      <c r="B136" s="34"/>
      <c r="C136" s="60">
        <f>C106+C111+C116+C121+C126+C131</f>
        <v>177.7131147540984</v>
      </c>
      <c r="D136" s="19">
        <f t="shared" ref="D136:H136" si="94">D106+D111+D116+D121+D126+D131</f>
        <v>180.43835616438358</v>
      </c>
      <c r="E136" s="19">
        <f t="shared" si="94"/>
        <v>178.27123287671236</v>
      </c>
      <c r="F136" s="19">
        <f t="shared" si="94"/>
        <v>176.44383561643838</v>
      </c>
      <c r="G136" s="19">
        <f t="shared" si="94"/>
        <v>176.01639344262298</v>
      </c>
      <c r="H136" s="35">
        <f t="shared" si="94"/>
        <v>176.0219178082192</v>
      </c>
      <c r="I136" s="35">
        <f t="shared" si="74"/>
        <v>177.48414177707915</v>
      </c>
      <c r="J136" s="35">
        <f t="shared" si="75"/>
        <v>1064.9048506624749</v>
      </c>
      <c r="K136" s="2"/>
      <c r="L136" s="195"/>
      <c r="M136" s="2"/>
    </row>
    <row r="137" spans="1:24" x14ac:dyDescent="0.3">
      <c r="C137" s="242"/>
      <c r="D137" s="163"/>
      <c r="E137" s="163"/>
      <c r="F137" s="163"/>
      <c r="G137" s="163"/>
      <c r="H137" s="163"/>
      <c r="I137" s="163"/>
      <c r="J137" s="2"/>
      <c r="K137" s="2"/>
      <c r="L137" s="2"/>
      <c r="M137" s="2"/>
    </row>
    <row r="138" spans="1:24" x14ac:dyDescent="0.3">
      <c r="C138" s="242"/>
      <c r="D138" s="163"/>
      <c r="E138" s="163"/>
      <c r="F138" s="163"/>
      <c r="G138" s="163"/>
      <c r="H138" s="163"/>
      <c r="I138" s="163"/>
      <c r="J138" s="2"/>
      <c r="K138" s="2"/>
      <c r="L138" s="2"/>
      <c r="M138" s="2"/>
    </row>
    <row r="139" spans="1:24" x14ac:dyDescent="0.3">
      <c r="A139" s="42" t="s">
        <v>231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2"/>
    </row>
    <row r="140" spans="1:24" x14ac:dyDescent="0.3">
      <c r="C140" s="242"/>
      <c r="D140" s="242"/>
      <c r="E140" s="242"/>
      <c r="F140" s="242"/>
      <c r="G140" s="242"/>
      <c r="H140" s="242"/>
      <c r="I140" s="163"/>
      <c r="J140" s="2"/>
      <c r="K140" s="2"/>
      <c r="L140" s="2"/>
      <c r="M140" s="2"/>
    </row>
    <row r="141" spans="1:24" ht="27.65" customHeight="1" x14ac:dyDescent="0.3">
      <c r="A141" s="678" t="s">
        <v>348</v>
      </c>
      <c r="B141" s="678" t="s">
        <v>349</v>
      </c>
      <c r="C141" s="3">
        <f>Annee</f>
        <v>2024</v>
      </c>
      <c r="D141" s="291">
        <f>C141+1</f>
        <v>2025</v>
      </c>
      <c r="E141" s="291">
        <f t="shared" ref="E141:G141" si="95">D141+1</f>
        <v>2026</v>
      </c>
      <c r="F141" s="291">
        <f t="shared" si="95"/>
        <v>2027</v>
      </c>
      <c r="G141" s="291">
        <f t="shared" si="95"/>
        <v>2028</v>
      </c>
      <c r="H141" s="295">
        <f>G141+1</f>
        <v>2029</v>
      </c>
      <c r="I141" s="179" t="s">
        <v>271</v>
      </c>
      <c r="J141" s="4" t="s">
        <v>62</v>
      </c>
      <c r="K141" s="2"/>
      <c r="L141" s="683" t="s">
        <v>305</v>
      </c>
      <c r="M141" s="2"/>
    </row>
    <row r="142" spans="1:24" ht="14.5" customHeight="1" x14ac:dyDescent="0.3">
      <c r="A142" s="679"/>
      <c r="B142" s="679"/>
      <c r="C142" s="77">
        <v>12</v>
      </c>
      <c r="D142" s="77">
        <v>12</v>
      </c>
      <c r="E142" s="77">
        <v>12</v>
      </c>
      <c r="F142" s="77">
        <v>12</v>
      </c>
      <c r="G142" s="77">
        <v>12</v>
      </c>
      <c r="H142" s="77">
        <v>12</v>
      </c>
      <c r="I142" s="78">
        <f t="shared" ref="I142:I163" si="96">IFERROR(AVERAGE(C142:H142),0)</f>
        <v>12</v>
      </c>
      <c r="J142" s="78">
        <f t="shared" ref="J142" si="97">SUM(C142:H142)</f>
        <v>72</v>
      </c>
      <c r="K142" s="2"/>
      <c r="L142" s="699"/>
      <c r="M142" s="2"/>
    </row>
    <row r="143" spans="1:24" x14ac:dyDescent="0.3">
      <c r="A143" s="115" t="s">
        <v>328</v>
      </c>
      <c r="B143" s="53"/>
      <c r="C143" s="223">
        <f>C144+C149+C154+C159+C164+C169</f>
        <v>3527632.7372100605</v>
      </c>
      <c r="D143" s="221">
        <f t="shared" ref="D143:H143" si="98">D144+D149+D154+D159+D164+D169</f>
        <v>3406312.2308486155</v>
      </c>
      <c r="E143" s="221">
        <f t="shared" si="98"/>
        <v>3336696.9232496745</v>
      </c>
      <c r="F143" s="221">
        <f t="shared" si="98"/>
        <v>3250336.3237993647</v>
      </c>
      <c r="G143" s="221">
        <f t="shared" si="98"/>
        <v>3209334.7903298559</v>
      </c>
      <c r="H143" s="222">
        <f t="shared" si="98"/>
        <v>3152732.3876465042</v>
      </c>
      <c r="I143" s="301">
        <f t="shared" si="96"/>
        <v>3313840.8988473457</v>
      </c>
      <c r="J143" s="301">
        <f>SUM(C143:H143)</f>
        <v>19883045.393084075</v>
      </c>
      <c r="K143" s="2"/>
      <c r="L143" s="494" t="s">
        <v>308</v>
      </c>
      <c r="M143" s="2"/>
    </row>
    <row r="144" spans="1:24" x14ac:dyDescent="0.3">
      <c r="A144" s="116" t="s">
        <v>273</v>
      </c>
      <c r="B144" s="313">
        <f>IFERROR(J144/(J$10+J$41+J$72),"-")</f>
        <v>0.34286114591314437</v>
      </c>
      <c r="C144" s="294">
        <f>SUM(C145:C148)</f>
        <v>2057989.8282368733</v>
      </c>
      <c r="D144" s="297">
        <f t="shared" ref="D144" si="99">SUM(D145:D148)</f>
        <v>1936669.3218754285</v>
      </c>
      <c r="E144" s="297">
        <f t="shared" ref="E144" si="100">SUM(E145:E148)</f>
        <v>1867054.0142764873</v>
      </c>
      <c r="F144" s="297">
        <f t="shared" ref="F144" si="101">SUM(F145:F148)</f>
        <v>1815745.5367299076</v>
      </c>
      <c r="G144" s="297">
        <f t="shared" ref="G144" si="102">SUM(G145:G148)</f>
        <v>1768055.0589409801</v>
      </c>
      <c r="H144" s="296">
        <f t="shared" ref="H144" si="103">SUM(H145:H148)</f>
        <v>1716983.342324947</v>
      </c>
      <c r="I144" s="62">
        <f t="shared" si="96"/>
        <v>1860416.1837307706</v>
      </c>
      <c r="J144" s="62">
        <f>SUM(C144:H144)</f>
        <v>11162497.102384623</v>
      </c>
      <c r="K144" s="2"/>
      <c r="L144" s="187"/>
      <c r="M144" s="2"/>
      <c r="P144" s="633"/>
      <c r="Q144" s="633"/>
      <c r="R144" s="633"/>
      <c r="S144" s="633"/>
      <c r="X144" s="11"/>
    </row>
    <row r="145" spans="1:24" x14ac:dyDescent="0.3">
      <c r="A145" s="36" t="s">
        <v>491</v>
      </c>
      <c r="B145" s="37">
        <f>IFERROR(J145/(J$11+J$42+J$73),"-")</f>
        <v>0.408474</v>
      </c>
      <c r="C145" s="324">
        <v>1110865.4442772518</v>
      </c>
      <c r="D145" s="325">
        <v>775972.16295121936</v>
      </c>
      <c r="E145" s="325">
        <v>583808.68005059729</v>
      </c>
      <c r="F145" s="325">
        <v>435453.35990104283</v>
      </c>
      <c r="G145" s="325">
        <v>299013.16509301355</v>
      </c>
      <c r="H145" s="326">
        <v>160324.92083416058</v>
      </c>
      <c r="I145" s="10">
        <f t="shared" si="96"/>
        <v>560906.28885121422</v>
      </c>
      <c r="J145" s="39">
        <f t="shared" ref="J145:J153" si="104">SUM(C145:H145)</f>
        <v>3365437.7331072851</v>
      </c>
      <c r="K145" s="2"/>
      <c r="L145" s="186"/>
      <c r="M145" s="2"/>
      <c r="X145" s="11"/>
    </row>
    <row r="146" spans="1:24" ht="13.15" customHeight="1" x14ac:dyDescent="0.3">
      <c r="A146" s="36" t="s">
        <v>492</v>
      </c>
      <c r="B146" s="37">
        <f>IFERROR(J146/(J$12+J$43+J$74),"-")</f>
        <v>0.35896200000000017</v>
      </c>
      <c r="C146" s="324">
        <v>503500.5495489242</v>
      </c>
      <c r="D146" s="324">
        <v>503553.40925358358</v>
      </c>
      <c r="E146" s="324">
        <v>503580.17329983611</v>
      </c>
      <c r="F146" s="324">
        <v>512481.36231659935</v>
      </c>
      <c r="G146" s="324">
        <v>518834.86577666394</v>
      </c>
      <c r="H146" s="326">
        <v>515832.69580220006</v>
      </c>
      <c r="I146" s="39">
        <f t="shared" si="96"/>
        <v>509630.50933296786</v>
      </c>
      <c r="J146" s="39">
        <f t="shared" si="104"/>
        <v>3057783.0559978071</v>
      </c>
      <c r="K146" s="2"/>
      <c r="L146" s="187"/>
      <c r="M146" s="2"/>
      <c r="X146" s="11"/>
    </row>
    <row r="147" spans="1:24" x14ac:dyDescent="0.3">
      <c r="A147" s="36" t="s">
        <v>493</v>
      </c>
      <c r="B147" s="37">
        <f>IFERROR(J147/(J$13+J$44+J$75),"-")</f>
        <v>0.53674999999999984</v>
      </c>
      <c r="C147" s="324">
        <v>202002.73367689922</v>
      </c>
      <c r="D147" s="324">
        <v>202002.73367689922</v>
      </c>
      <c r="E147" s="324">
        <v>202002.73367689922</v>
      </c>
      <c r="F147" s="324">
        <v>202002.73367689922</v>
      </c>
      <c r="G147" s="324">
        <v>202002.73367689922</v>
      </c>
      <c r="H147" s="326">
        <v>202002.73367689922</v>
      </c>
      <c r="I147" s="39">
        <f t="shared" si="96"/>
        <v>202002.73367689922</v>
      </c>
      <c r="J147" s="39">
        <f t="shared" si="104"/>
        <v>1212016.4020613953</v>
      </c>
      <c r="K147" s="2"/>
      <c r="L147" s="187"/>
      <c r="M147" s="2"/>
      <c r="X147" s="11"/>
    </row>
    <row r="148" spans="1:24" x14ac:dyDescent="0.3">
      <c r="A148" s="36" t="s">
        <v>494</v>
      </c>
      <c r="B148" s="37">
        <f>IFERROR(J148/(J$14+J$45+J$76),"-")</f>
        <v>0.26047999999999999</v>
      </c>
      <c r="C148" s="324">
        <v>241621.10073379811</v>
      </c>
      <c r="D148" s="324">
        <v>455141.01599372638</v>
      </c>
      <c r="E148" s="324">
        <v>577662.42724915466</v>
      </c>
      <c r="F148" s="324">
        <v>665808.08083536604</v>
      </c>
      <c r="G148" s="324">
        <v>748204.29439440335</v>
      </c>
      <c r="H148" s="326">
        <v>838822.99201168702</v>
      </c>
      <c r="I148" s="39">
        <f t="shared" si="96"/>
        <v>587876.65186968923</v>
      </c>
      <c r="J148" s="39">
        <f t="shared" si="104"/>
        <v>3527259.9112181356</v>
      </c>
      <c r="K148" s="2"/>
      <c r="L148" s="187"/>
      <c r="M148" s="2"/>
      <c r="X148" s="11"/>
    </row>
    <row r="149" spans="1:24" x14ac:dyDescent="0.3">
      <c r="A149" s="116" t="s">
        <v>495</v>
      </c>
      <c r="B149" s="313">
        <f>IFERROR(J149/(J$15+J$46+J$77),"-")</f>
        <v>0.45798600000000006</v>
      </c>
      <c r="C149" s="294">
        <f>SUM(C150:C153)</f>
        <v>1155056.3829300893</v>
      </c>
      <c r="D149" s="297">
        <f t="shared" ref="D149" si="105">SUM(D150:D153)</f>
        <v>1155056.3829300893</v>
      </c>
      <c r="E149" s="297">
        <f t="shared" ref="E149" si="106">SUM(E150:E153)</f>
        <v>1155056.3829300893</v>
      </c>
      <c r="F149" s="297">
        <f t="shared" ref="F149" si="107">SUM(F150:F153)</f>
        <v>1155056.3829300893</v>
      </c>
      <c r="G149" s="297">
        <f t="shared" ref="G149" si="108">SUM(G150:G153)</f>
        <v>1155056.3829300893</v>
      </c>
      <c r="H149" s="296">
        <f t="shared" ref="H149" si="109">SUM(H150:H153)</f>
        <v>1155056.3829300893</v>
      </c>
      <c r="I149" s="62">
        <f t="shared" si="96"/>
        <v>1155056.382930089</v>
      </c>
      <c r="J149" s="62">
        <f t="shared" si="104"/>
        <v>6930338.2975805346</v>
      </c>
      <c r="K149" s="2"/>
      <c r="L149" s="195"/>
      <c r="M149" s="2"/>
      <c r="P149" s="633"/>
      <c r="Q149" s="633"/>
      <c r="R149" s="633"/>
      <c r="S149" s="633"/>
      <c r="X149" s="11"/>
    </row>
    <row r="150" spans="1:24" x14ac:dyDescent="0.3">
      <c r="A150" s="36" t="s">
        <v>491</v>
      </c>
      <c r="B150" s="37" t="str">
        <f>IFERROR(J150/(J$16+J$47+J$78),"-")</f>
        <v>-</v>
      </c>
      <c r="C150" s="324">
        <v>0</v>
      </c>
      <c r="D150" s="324">
        <v>0</v>
      </c>
      <c r="E150" s="324">
        <v>0</v>
      </c>
      <c r="F150" s="324">
        <v>0</v>
      </c>
      <c r="G150" s="324">
        <v>0</v>
      </c>
      <c r="H150" s="326">
        <v>0</v>
      </c>
      <c r="I150" s="39">
        <f t="shared" si="96"/>
        <v>0</v>
      </c>
      <c r="J150" s="39">
        <f t="shared" si="104"/>
        <v>0</v>
      </c>
      <c r="K150" s="2"/>
      <c r="L150" s="187"/>
      <c r="M150" s="2"/>
      <c r="X150" s="11"/>
    </row>
    <row r="151" spans="1:24" x14ac:dyDescent="0.3">
      <c r="A151" s="36" t="s">
        <v>492</v>
      </c>
      <c r="B151" s="37">
        <f>IFERROR(J151/(J$17+J$48+J$79),"-")</f>
        <v>0.45798600000000006</v>
      </c>
      <c r="C151" s="324">
        <v>1155056.3829300893</v>
      </c>
      <c r="D151" s="324">
        <v>1155056.3829300893</v>
      </c>
      <c r="E151" s="324">
        <v>1155056.3829300893</v>
      </c>
      <c r="F151" s="324">
        <v>1155056.3829300893</v>
      </c>
      <c r="G151" s="324">
        <v>1155056.3829300893</v>
      </c>
      <c r="H151" s="326">
        <v>1155056.3829300893</v>
      </c>
      <c r="I151" s="39">
        <f t="shared" ref="I151" si="110">IFERROR(AVERAGE(C151:H151),0)</f>
        <v>1155056.382930089</v>
      </c>
      <c r="J151" s="39">
        <f t="shared" ref="J151" si="111">SUM(C151:H151)</f>
        <v>6930338.2975805346</v>
      </c>
      <c r="K151" s="2"/>
      <c r="L151" s="187"/>
      <c r="M151" s="2"/>
      <c r="X151" s="11"/>
    </row>
    <row r="152" spans="1:24" x14ac:dyDescent="0.3">
      <c r="A152" s="36" t="s">
        <v>493</v>
      </c>
      <c r="B152" s="37" t="str">
        <f>IFERROR(J152/(J$18+J$49+J$80),"-")</f>
        <v>-</v>
      </c>
      <c r="C152" s="324">
        <v>0</v>
      </c>
      <c r="D152" s="324">
        <v>0</v>
      </c>
      <c r="E152" s="324">
        <v>0</v>
      </c>
      <c r="F152" s="324">
        <v>0</v>
      </c>
      <c r="G152" s="324">
        <v>0</v>
      </c>
      <c r="H152" s="326">
        <v>0</v>
      </c>
      <c r="I152" s="39">
        <f t="shared" si="96"/>
        <v>0</v>
      </c>
      <c r="J152" s="39">
        <f t="shared" si="104"/>
        <v>0</v>
      </c>
      <c r="K152" s="2"/>
      <c r="L152" s="187"/>
      <c r="M152" s="2"/>
      <c r="X152" s="11"/>
    </row>
    <row r="153" spans="1:24" x14ac:dyDescent="0.3">
      <c r="A153" s="59" t="s">
        <v>494</v>
      </c>
      <c r="B153" s="79" t="str">
        <f>IFERROR(J153/(J$19+J$50+J$81),"-")</f>
        <v>-</v>
      </c>
      <c r="C153" s="330">
        <v>0</v>
      </c>
      <c r="D153" s="330">
        <v>0</v>
      </c>
      <c r="E153" s="330">
        <v>0</v>
      </c>
      <c r="F153" s="330">
        <v>0</v>
      </c>
      <c r="G153" s="330">
        <v>0</v>
      </c>
      <c r="H153" s="331">
        <v>0</v>
      </c>
      <c r="I153" s="229">
        <f t="shared" si="96"/>
        <v>0</v>
      </c>
      <c r="J153" s="229">
        <f t="shared" si="104"/>
        <v>0</v>
      </c>
      <c r="K153" s="2"/>
      <c r="L153" s="202"/>
      <c r="M153" s="2"/>
      <c r="X153" s="11"/>
    </row>
    <row r="154" spans="1:24" x14ac:dyDescent="0.3">
      <c r="A154" s="116" t="s">
        <v>496</v>
      </c>
      <c r="B154" s="313" t="str">
        <f>IFERROR(J154/(J$20+J$51+J$82),"-")</f>
        <v>-</v>
      </c>
      <c r="C154" s="294">
        <f>SUM(C155:C158)</f>
        <v>0</v>
      </c>
      <c r="D154" s="297">
        <f t="shared" ref="D154:H154" si="112">SUM(D155:D158)</f>
        <v>0</v>
      </c>
      <c r="E154" s="297">
        <f t="shared" si="112"/>
        <v>0</v>
      </c>
      <c r="F154" s="297">
        <f t="shared" si="112"/>
        <v>0</v>
      </c>
      <c r="G154" s="297">
        <f t="shared" si="112"/>
        <v>0</v>
      </c>
      <c r="H154" s="296">
        <f t="shared" si="112"/>
        <v>0</v>
      </c>
      <c r="I154" s="62">
        <f t="shared" si="96"/>
        <v>0</v>
      </c>
      <c r="J154" s="62">
        <f>SUM(C154:H154)</f>
        <v>0</v>
      </c>
      <c r="K154" s="2"/>
      <c r="L154" s="187"/>
      <c r="M154" s="2"/>
      <c r="P154" s="633"/>
      <c r="Q154" s="633"/>
      <c r="R154" s="633"/>
      <c r="S154" s="633"/>
      <c r="X154" s="11"/>
    </row>
    <row r="155" spans="1:24" x14ac:dyDescent="0.3">
      <c r="A155" s="36" t="s">
        <v>491</v>
      </c>
      <c r="B155" s="37" t="str">
        <f>IFERROR(J155/(J$21+J$52+J$83),"-")</f>
        <v>-</v>
      </c>
      <c r="C155" s="324">
        <v>0</v>
      </c>
      <c r="D155" s="325">
        <v>0</v>
      </c>
      <c r="E155" s="325">
        <v>0</v>
      </c>
      <c r="F155" s="325">
        <v>0</v>
      </c>
      <c r="G155" s="325">
        <v>0</v>
      </c>
      <c r="H155" s="326">
        <v>0</v>
      </c>
      <c r="I155" s="10">
        <f t="shared" si="96"/>
        <v>0</v>
      </c>
      <c r="J155" s="39">
        <f t="shared" ref="J155:J163" si="113">SUM(C155:H155)</f>
        <v>0</v>
      </c>
      <c r="K155" s="2"/>
      <c r="L155" s="186"/>
      <c r="M155" s="2"/>
      <c r="X155" s="11"/>
    </row>
    <row r="156" spans="1:24" ht="13.15" customHeight="1" x14ac:dyDescent="0.3">
      <c r="A156" s="36" t="s">
        <v>492</v>
      </c>
      <c r="B156" s="37" t="str">
        <f>IFERROR(J156/(J$22+J$53+J$84),"-")</f>
        <v>-</v>
      </c>
      <c r="C156" s="324">
        <v>0</v>
      </c>
      <c r="D156" s="324">
        <v>0</v>
      </c>
      <c r="E156" s="324">
        <v>0</v>
      </c>
      <c r="F156" s="324">
        <v>0</v>
      </c>
      <c r="G156" s="324">
        <v>0</v>
      </c>
      <c r="H156" s="326">
        <v>0</v>
      </c>
      <c r="I156" s="39">
        <f t="shared" si="96"/>
        <v>0</v>
      </c>
      <c r="J156" s="39">
        <f t="shared" si="113"/>
        <v>0</v>
      </c>
      <c r="K156" s="2"/>
      <c r="L156" s="187"/>
      <c r="M156" s="2"/>
      <c r="X156" s="11"/>
    </row>
    <row r="157" spans="1:24" x14ac:dyDescent="0.3">
      <c r="A157" s="36" t="s">
        <v>493</v>
      </c>
      <c r="B157" s="37" t="str">
        <f>IFERROR(J157/(J$23+J$54+J$85),"-")</f>
        <v>-</v>
      </c>
      <c r="C157" s="324">
        <v>0</v>
      </c>
      <c r="D157" s="324">
        <v>0</v>
      </c>
      <c r="E157" s="324">
        <v>0</v>
      </c>
      <c r="F157" s="324">
        <v>0</v>
      </c>
      <c r="G157" s="324">
        <v>0</v>
      </c>
      <c r="H157" s="326">
        <v>0</v>
      </c>
      <c r="I157" s="39">
        <f t="shared" si="96"/>
        <v>0</v>
      </c>
      <c r="J157" s="39">
        <f t="shared" si="113"/>
        <v>0</v>
      </c>
      <c r="K157" s="2"/>
      <c r="L157" s="187"/>
      <c r="M157" s="2"/>
      <c r="X157" s="11"/>
    </row>
    <row r="158" spans="1:24" x14ac:dyDescent="0.3">
      <c r="A158" s="36" t="s">
        <v>494</v>
      </c>
      <c r="B158" s="37" t="str">
        <f>IFERROR(J158/(J$24+J$55+J$86),"-")</f>
        <v>-</v>
      </c>
      <c r="C158" s="324">
        <v>0</v>
      </c>
      <c r="D158" s="324">
        <v>0</v>
      </c>
      <c r="E158" s="324">
        <v>0</v>
      </c>
      <c r="F158" s="324">
        <v>0</v>
      </c>
      <c r="G158" s="324">
        <v>0</v>
      </c>
      <c r="H158" s="326">
        <v>0</v>
      </c>
      <c r="I158" s="39">
        <f t="shared" si="96"/>
        <v>0</v>
      </c>
      <c r="J158" s="39">
        <f t="shared" si="113"/>
        <v>0</v>
      </c>
      <c r="K158" s="2"/>
      <c r="L158" s="187"/>
      <c r="M158" s="2"/>
      <c r="X158" s="11"/>
    </row>
    <row r="159" spans="1:24" x14ac:dyDescent="0.3">
      <c r="A159" s="116" t="s">
        <v>272</v>
      </c>
      <c r="B159" s="313">
        <f>IFERROR(J159/(J$25+J$56+J$87),"-")</f>
        <v>0.15358795936332562</v>
      </c>
      <c r="C159" s="294">
        <f>SUM(C160:C163)</f>
        <v>49537.04534812802</v>
      </c>
      <c r="D159" s="297">
        <f t="shared" ref="D159:H159" si="114">SUM(D160:D163)</f>
        <v>49537.04534812802</v>
      </c>
      <c r="E159" s="297">
        <f t="shared" si="114"/>
        <v>49537.04534812802</v>
      </c>
      <c r="F159" s="297">
        <f t="shared" si="114"/>
        <v>49537.04534812802</v>
      </c>
      <c r="G159" s="297">
        <f t="shared" si="114"/>
        <v>81023.750501390343</v>
      </c>
      <c r="H159" s="296">
        <f t="shared" si="114"/>
        <v>87170.442942741211</v>
      </c>
      <c r="I159" s="62">
        <f t="shared" si="96"/>
        <v>61057.062472773941</v>
      </c>
      <c r="J159" s="62">
        <f t="shared" si="113"/>
        <v>366342.37483664363</v>
      </c>
      <c r="K159" s="2"/>
      <c r="L159" s="195"/>
      <c r="M159" s="2"/>
      <c r="P159" s="633"/>
      <c r="Q159" s="633"/>
      <c r="R159" s="633"/>
      <c r="S159" s="633"/>
      <c r="X159" s="11"/>
    </row>
    <row r="160" spans="1:24" x14ac:dyDescent="0.3">
      <c r="A160" s="36" t="s">
        <v>491</v>
      </c>
      <c r="B160" s="37">
        <f>IFERROR(J160/(J$26+J$57+J$88),"-")</f>
        <v>0.14853600000000006</v>
      </c>
      <c r="C160" s="324">
        <v>49537.04534812802</v>
      </c>
      <c r="D160" s="324">
        <v>49537.04534812802</v>
      </c>
      <c r="E160" s="324">
        <v>49537.04534812802</v>
      </c>
      <c r="F160" s="324">
        <v>49537.04534812802</v>
      </c>
      <c r="G160" s="324">
        <v>49537.04534812802</v>
      </c>
      <c r="H160" s="326">
        <v>49537.04534812802</v>
      </c>
      <c r="I160" s="39">
        <f t="shared" si="96"/>
        <v>49537.04534812802</v>
      </c>
      <c r="J160" s="39">
        <f t="shared" si="113"/>
        <v>297222.27208876814</v>
      </c>
      <c r="K160" s="2"/>
      <c r="L160" s="187"/>
      <c r="M160" s="2"/>
      <c r="X160" s="11"/>
    </row>
    <row r="161" spans="1:24" x14ac:dyDescent="0.3">
      <c r="A161" s="36" t="s">
        <v>492</v>
      </c>
      <c r="B161" s="37" t="str">
        <f>IFERROR(J161/(J$27+J$58+J$89),"-")</f>
        <v>-</v>
      </c>
      <c r="C161" s="324">
        <v>0</v>
      </c>
      <c r="D161" s="324">
        <v>0</v>
      </c>
      <c r="E161" s="324">
        <v>0</v>
      </c>
      <c r="F161" s="324">
        <v>0</v>
      </c>
      <c r="G161" s="324">
        <v>0</v>
      </c>
      <c r="H161" s="326">
        <v>0</v>
      </c>
      <c r="I161" s="39">
        <f t="shared" si="96"/>
        <v>0</v>
      </c>
      <c r="J161" s="39">
        <f t="shared" si="113"/>
        <v>0</v>
      </c>
      <c r="K161" s="2"/>
      <c r="L161" s="187"/>
      <c r="M161" s="2"/>
      <c r="X161" s="11"/>
    </row>
    <row r="162" spans="1:24" x14ac:dyDescent="0.3">
      <c r="A162" s="36" t="s">
        <v>493</v>
      </c>
      <c r="B162" s="37" t="str">
        <f>IFERROR(J162/(J$28+J$59+J$90),"-")</f>
        <v>-</v>
      </c>
      <c r="C162" s="324">
        <v>0</v>
      </c>
      <c r="D162" s="324">
        <v>0</v>
      </c>
      <c r="E162" s="324">
        <v>0</v>
      </c>
      <c r="F162" s="324">
        <v>0</v>
      </c>
      <c r="G162" s="324">
        <v>0</v>
      </c>
      <c r="H162" s="326">
        <v>0</v>
      </c>
      <c r="I162" s="39">
        <f t="shared" si="96"/>
        <v>0</v>
      </c>
      <c r="J162" s="39">
        <f t="shared" si="113"/>
        <v>0</v>
      </c>
      <c r="K162" s="2"/>
      <c r="L162" s="187"/>
      <c r="M162" s="2"/>
      <c r="X162" s="11"/>
    </row>
    <row r="163" spans="1:24" x14ac:dyDescent="0.3">
      <c r="A163" s="59" t="s">
        <v>494</v>
      </c>
      <c r="B163" s="79">
        <f>IFERROR(J163/(J$29+J$60+J$91),"-")</f>
        <v>0.17989870357738205</v>
      </c>
      <c r="C163" s="330">
        <v>0</v>
      </c>
      <c r="D163" s="330">
        <v>0</v>
      </c>
      <c r="E163" s="330">
        <v>0</v>
      </c>
      <c r="F163" s="330">
        <v>0</v>
      </c>
      <c r="G163" s="330">
        <v>31486.705153262319</v>
      </c>
      <c r="H163" s="331">
        <v>37633.397594613198</v>
      </c>
      <c r="I163" s="229">
        <f t="shared" si="96"/>
        <v>11520.017124645919</v>
      </c>
      <c r="J163" s="229">
        <f t="shared" si="113"/>
        <v>69120.102747875513</v>
      </c>
      <c r="K163" s="2"/>
      <c r="L163" s="202"/>
      <c r="M163" s="2"/>
      <c r="X163" s="11"/>
    </row>
    <row r="164" spans="1:24" x14ac:dyDescent="0.3">
      <c r="A164" s="116" t="s">
        <v>274</v>
      </c>
      <c r="B164" s="313">
        <f>IFERROR(J164/(J$30+J$61+J$92),"-")</f>
        <v>0.37866554506396993</v>
      </c>
      <c r="C164" s="294">
        <f>SUM(C165:C168)</f>
        <v>265049.48069497</v>
      </c>
      <c r="D164" s="297">
        <f t="shared" ref="D164:H164" si="115">SUM(D165:D168)</f>
        <v>265049.48069497</v>
      </c>
      <c r="E164" s="297">
        <f t="shared" si="115"/>
        <v>265049.48069497</v>
      </c>
      <c r="F164" s="297">
        <f t="shared" si="115"/>
        <v>229997.35879123991</v>
      </c>
      <c r="G164" s="297">
        <f t="shared" si="115"/>
        <v>205199.59795739609</v>
      </c>
      <c r="H164" s="296">
        <f t="shared" si="115"/>
        <v>193522.21944872674</v>
      </c>
      <c r="I164" s="62">
        <f t="shared" ref="I164:I173" si="116">IFERROR(AVERAGE(C164:H164),0)</f>
        <v>237311.26971371216</v>
      </c>
      <c r="J164" s="62">
        <f>SUM(C164:H164)</f>
        <v>1423867.6182822729</v>
      </c>
      <c r="K164" s="2"/>
      <c r="L164" s="187"/>
      <c r="M164" s="2"/>
      <c r="P164" s="633"/>
      <c r="Q164" s="633"/>
      <c r="R164" s="633"/>
      <c r="S164" s="633"/>
      <c r="X164" s="11"/>
    </row>
    <row r="165" spans="1:24" x14ac:dyDescent="0.3">
      <c r="A165" s="36" t="s">
        <v>491</v>
      </c>
      <c r="B165" s="37">
        <f>IFERROR(J165/(J$31+J$62+J$93),"-")</f>
        <v>0.43323000000000017</v>
      </c>
      <c r="C165" s="324">
        <v>99749.804562623118</v>
      </c>
      <c r="D165" s="325">
        <v>99749.804562623118</v>
      </c>
      <c r="E165" s="325">
        <v>99749.804562623118</v>
      </c>
      <c r="F165" s="325">
        <v>64788.208220849396</v>
      </c>
      <c r="G165" s="325">
        <v>39899.921825049249</v>
      </c>
      <c r="H165" s="326">
        <v>28252.729524585189</v>
      </c>
      <c r="I165" s="10">
        <f t="shared" si="116"/>
        <v>72031.712209725534</v>
      </c>
      <c r="J165" s="39">
        <f t="shared" ref="J165:J173" si="117">SUM(C165:H165)</f>
        <v>432190.27325835318</v>
      </c>
      <c r="K165" s="2"/>
      <c r="L165" s="186"/>
      <c r="M165" s="2"/>
      <c r="X165" s="11"/>
    </row>
    <row r="166" spans="1:24" ht="13.15" customHeight="1" x14ac:dyDescent="0.3">
      <c r="A166" s="36" t="s">
        <v>492</v>
      </c>
      <c r="B166" s="37">
        <f>IFERROR(J166/(J$32+J$63+J$94),"-")</f>
        <v>0.35896200000000006</v>
      </c>
      <c r="C166" s="324">
        <v>165299.67613234685</v>
      </c>
      <c r="D166" s="324">
        <v>165299.67613234685</v>
      </c>
      <c r="E166" s="324">
        <v>165299.67613234685</v>
      </c>
      <c r="F166" s="324">
        <v>165209.15057039051</v>
      </c>
      <c r="G166" s="324">
        <v>165299.67613234685</v>
      </c>
      <c r="H166" s="326">
        <v>165269.48992414156</v>
      </c>
      <c r="I166" s="39">
        <f t="shared" si="116"/>
        <v>165279.55750398658</v>
      </c>
      <c r="J166" s="39">
        <f t="shared" si="117"/>
        <v>991677.34502391948</v>
      </c>
      <c r="K166" s="2"/>
      <c r="L166" s="187"/>
      <c r="M166" s="2"/>
      <c r="X166" s="11"/>
    </row>
    <row r="167" spans="1:24" x14ac:dyDescent="0.3">
      <c r="A167" s="36" t="s">
        <v>493</v>
      </c>
      <c r="B167" s="37" t="str">
        <f>IFERROR(J167/(J$33+J$64+J$95),"-")</f>
        <v>-</v>
      </c>
      <c r="C167" s="324">
        <v>0</v>
      </c>
      <c r="D167" s="324">
        <v>0</v>
      </c>
      <c r="E167" s="324">
        <v>0</v>
      </c>
      <c r="F167" s="324">
        <v>0</v>
      </c>
      <c r="G167" s="324">
        <v>0</v>
      </c>
      <c r="H167" s="326">
        <v>0</v>
      </c>
      <c r="I167" s="39">
        <f t="shared" si="116"/>
        <v>0</v>
      </c>
      <c r="J167" s="39">
        <f t="shared" si="117"/>
        <v>0</v>
      </c>
      <c r="K167" s="2"/>
      <c r="L167" s="187"/>
      <c r="M167" s="2"/>
      <c r="X167" s="11"/>
    </row>
    <row r="168" spans="1:24" x14ac:dyDescent="0.3">
      <c r="A168" s="36" t="s">
        <v>494</v>
      </c>
      <c r="B168" s="37" t="str">
        <f>IFERROR(J168/(J$34+J$65+J$96),"-")</f>
        <v>-</v>
      </c>
      <c r="C168" s="324">
        <v>0</v>
      </c>
      <c r="D168" s="324">
        <v>0</v>
      </c>
      <c r="E168" s="324">
        <v>0</v>
      </c>
      <c r="F168" s="324">
        <v>0</v>
      </c>
      <c r="G168" s="324">
        <v>0</v>
      </c>
      <c r="H168" s="326">
        <v>0</v>
      </c>
      <c r="I168" s="39">
        <f t="shared" si="116"/>
        <v>0</v>
      </c>
      <c r="J168" s="39">
        <f t="shared" si="117"/>
        <v>0</v>
      </c>
      <c r="K168" s="2"/>
      <c r="L168" s="187"/>
      <c r="M168" s="2"/>
      <c r="X168" s="11"/>
    </row>
    <row r="169" spans="1:24" x14ac:dyDescent="0.3">
      <c r="A169" s="116" t="s">
        <v>462</v>
      </c>
      <c r="B169" s="313" t="str">
        <f>IFERROR(J169/(J$35+J$66+J$97),"-")</f>
        <v>-</v>
      </c>
      <c r="C169" s="294">
        <f>SUM(C170:C173)</f>
        <v>0</v>
      </c>
      <c r="D169" s="297">
        <f t="shared" ref="D169:H169" si="118">SUM(D170:D173)</f>
        <v>0</v>
      </c>
      <c r="E169" s="297">
        <f t="shared" si="118"/>
        <v>0</v>
      </c>
      <c r="F169" s="297">
        <f t="shared" si="118"/>
        <v>0</v>
      </c>
      <c r="G169" s="297">
        <f t="shared" si="118"/>
        <v>0</v>
      </c>
      <c r="H169" s="296">
        <f t="shared" si="118"/>
        <v>0</v>
      </c>
      <c r="I169" s="62">
        <f t="shared" si="116"/>
        <v>0</v>
      </c>
      <c r="J169" s="62">
        <f t="shared" si="117"/>
        <v>0</v>
      </c>
      <c r="K169" s="2"/>
      <c r="L169" s="195"/>
      <c r="M169" s="2"/>
      <c r="P169" s="633"/>
      <c r="Q169" s="633"/>
      <c r="R169" s="633"/>
      <c r="S169" s="633"/>
      <c r="X169" s="11"/>
    </row>
    <row r="170" spans="1:24" x14ac:dyDescent="0.3">
      <c r="A170" s="36" t="s">
        <v>491</v>
      </c>
      <c r="B170" s="37" t="str">
        <f>IFERROR(J170/(J$36+J$67+J$98),"-")</f>
        <v>-</v>
      </c>
      <c r="C170" s="324">
        <v>0</v>
      </c>
      <c r="D170" s="324">
        <v>0</v>
      </c>
      <c r="E170" s="324">
        <v>0</v>
      </c>
      <c r="F170" s="324">
        <v>0</v>
      </c>
      <c r="G170" s="324">
        <v>0</v>
      </c>
      <c r="H170" s="326">
        <v>0</v>
      </c>
      <c r="I170" s="39">
        <f t="shared" si="116"/>
        <v>0</v>
      </c>
      <c r="J170" s="39">
        <f t="shared" si="117"/>
        <v>0</v>
      </c>
      <c r="K170" s="2"/>
      <c r="L170" s="187"/>
      <c r="M170" s="2"/>
      <c r="X170" s="11"/>
    </row>
    <row r="171" spans="1:24" x14ac:dyDescent="0.3">
      <c r="A171" s="36" t="s">
        <v>492</v>
      </c>
      <c r="B171" s="37" t="str">
        <f>IFERROR(J171/(J$37+J$68+J$99),"-")</f>
        <v>-</v>
      </c>
      <c r="C171" s="324">
        <v>0</v>
      </c>
      <c r="D171" s="324">
        <v>0</v>
      </c>
      <c r="E171" s="324">
        <v>0</v>
      </c>
      <c r="F171" s="324">
        <v>0</v>
      </c>
      <c r="G171" s="324">
        <v>0</v>
      </c>
      <c r="H171" s="326">
        <v>0</v>
      </c>
      <c r="I171" s="39">
        <f t="shared" si="116"/>
        <v>0</v>
      </c>
      <c r="J171" s="39">
        <f t="shared" si="117"/>
        <v>0</v>
      </c>
      <c r="K171" s="2"/>
      <c r="L171" s="187"/>
      <c r="M171" s="2"/>
      <c r="X171" s="11"/>
    </row>
    <row r="172" spans="1:24" x14ac:dyDescent="0.3">
      <c r="A172" s="36" t="s">
        <v>493</v>
      </c>
      <c r="B172" s="37" t="str">
        <f>IFERROR(J172/(J$38+J$69+J$100),"-")</f>
        <v>-</v>
      </c>
      <c r="C172" s="324">
        <v>0</v>
      </c>
      <c r="D172" s="324">
        <v>0</v>
      </c>
      <c r="E172" s="324">
        <v>0</v>
      </c>
      <c r="F172" s="324">
        <v>0</v>
      </c>
      <c r="G172" s="324">
        <v>0</v>
      </c>
      <c r="H172" s="326">
        <v>0</v>
      </c>
      <c r="I172" s="39">
        <f t="shared" si="116"/>
        <v>0</v>
      </c>
      <c r="J172" s="39">
        <f t="shared" si="117"/>
        <v>0</v>
      </c>
      <c r="K172" s="2"/>
      <c r="L172" s="187"/>
      <c r="M172" s="2"/>
      <c r="X172" s="11"/>
    </row>
    <row r="173" spans="1:24" x14ac:dyDescent="0.3">
      <c r="A173" s="59" t="s">
        <v>494</v>
      </c>
      <c r="B173" s="79" t="str">
        <f>IFERROR(J173/(J$39+J$70+J$101),"-")</f>
        <v>-</v>
      </c>
      <c r="C173" s="330">
        <v>0</v>
      </c>
      <c r="D173" s="330">
        <v>0</v>
      </c>
      <c r="E173" s="330">
        <v>0</v>
      </c>
      <c r="F173" s="330">
        <v>0</v>
      </c>
      <c r="G173" s="330">
        <v>0</v>
      </c>
      <c r="H173" s="331">
        <v>0</v>
      </c>
      <c r="I173" s="229">
        <f t="shared" si="116"/>
        <v>0</v>
      </c>
      <c r="J173" s="229">
        <f t="shared" si="117"/>
        <v>0</v>
      </c>
      <c r="K173" s="2"/>
      <c r="L173" s="202"/>
      <c r="M173" s="2"/>
      <c r="X173" s="11"/>
    </row>
    <row r="174" spans="1:24" x14ac:dyDescent="0.3">
      <c r="A174" s="115" t="s">
        <v>71</v>
      </c>
      <c r="B174" s="53"/>
      <c r="C174" s="223">
        <f>C175+C180+C185+C190+C195+C200</f>
        <v>139612.03346003327</v>
      </c>
      <c r="D174" s="221">
        <f t="shared" ref="D174" si="119">D175+D180+D185+D190+D195+D200</f>
        <v>130929.06055506537</v>
      </c>
      <c r="E174" s="221">
        <f t="shared" ref="E174" si="120">E175+E180+E185+E190+E195+E200</f>
        <v>125946.59417055717</v>
      </c>
      <c r="F174" s="221">
        <f t="shared" ref="F174" si="121">F175+F180+F185+F190+F195+F200</f>
        <v>122134.90267390462</v>
      </c>
      <c r="G174" s="221">
        <f t="shared" ref="G174" si="122">G175+G180+G185+G190+G195+G200</f>
        <v>118628.29566979196</v>
      </c>
      <c r="H174" s="222">
        <f t="shared" ref="H174" si="123">H175+H180+H185+H190+H195+H200</f>
        <v>114822.7139609661</v>
      </c>
      <c r="I174" s="301">
        <f t="shared" ref="I174:I277" si="124">IFERROR(AVERAGE(C174:H174),0)</f>
        <v>125345.60008171975</v>
      </c>
      <c r="J174" s="301">
        <f>SUM(C174:H174)</f>
        <v>752073.60049031849</v>
      </c>
      <c r="K174" s="2"/>
      <c r="L174" s="494" t="s">
        <v>308</v>
      </c>
      <c r="M174" s="2"/>
      <c r="X174" s="11"/>
    </row>
    <row r="175" spans="1:24" x14ac:dyDescent="0.3">
      <c r="A175" s="116" t="s">
        <v>273</v>
      </c>
      <c r="B175" s="313">
        <f>IFERROR(J175/(J$10+J$41+J$72),"-")</f>
        <v>9.8309126026998386E-3</v>
      </c>
      <c r="C175" s="294">
        <f>SUM(C176:C179)</f>
        <v>67379.521444182872</v>
      </c>
      <c r="D175" s="297">
        <f t="shared" ref="D175" si="125">SUM(D176:D179)</f>
        <v>58696.548539214964</v>
      </c>
      <c r="E175" s="297">
        <f t="shared" ref="E175" si="126">SUM(E176:E179)</f>
        <v>53714.082154706775</v>
      </c>
      <c r="F175" s="297">
        <f t="shared" ref="F175" si="127">SUM(F176:F179)</f>
        <v>50196.07133086551</v>
      </c>
      <c r="G175" s="297">
        <f t="shared" ref="G175" si="128">SUM(G176:G179)</f>
        <v>46892.794313703998</v>
      </c>
      <c r="H175" s="296">
        <f t="shared" ref="H175" si="129">SUM(H176:H179)</f>
        <v>43185.051154529989</v>
      </c>
      <c r="I175" s="62">
        <f t="shared" si="124"/>
        <v>53344.011489534016</v>
      </c>
      <c r="J175" s="62">
        <f>SUM(C175:H175)</f>
        <v>320064.06893720408</v>
      </c>
      <c r="K175" s="2"/>
      <c r="L175" s="187"/>
      <c r="M175" s="2"/>
      <c r="X175" s="11"/>
    </row>
    <row r="176" spans="1:24" x14ac:dyDescent="0.3">
      <c r="A176" s="36" t="s">
        <v>491</v>
      </c>
      <c r="B176" s="37">
        <f>IFERROR(J176/(J$11+J$42+J$73),"-")</f>
        <v>1.4268128571428571E-2</v>
      </c>
      <c r="C176" s="324">
        <v>38802.888273194738</v>
      </c>
      <c r="D176" s="325">
        <v>27104.957938173589</v>
      </c>
      <c r="E176" s="325">
        <v>20392.625498998535</v>
      </c>
      <c r="F176" s="325">
        <v>15210.526314841671</v>
      </c>
      <c r="G176" s="325">
        <v>10444.626302033703</v>
      </c>
      <c r="H176" s="326">
        <v>5600.2011968103479</v>
      </c>
      <c r="I176" s="10">
        <f t="shared" si="124"/>
        <v>19592.637587342098</v>
      </c>
      <c r="J176" s="39">
        <f t="shared" ref="J176:J184" si="130">SUM(C176:H176)</f>
        <v>117555.82552405259</v>
      </c>
      <c r="K176" s="2"/>
      <c r="L176" s="186"/>
      <c r="M176" s="2"/>
      <c r="X176" s="11"/>
    </row>
    <row r="177" spans="1:24" ht="13.15" customHeight="1" x14ac:dyDescent="0.3">
      <c r="A177" s="36" t="s">
        <v>492</v>
      </c>
      <c r="B177" s="37">
        <f>IFERROR(J177/(J$12+J$43+J$74),"-")</f>
        <v>1.6956847619047623E-2</v>
      </c>
      <c r="C177" s="324">
        <v>23784.640421013479</v>
      </c>
      <c r="D177" s="324">
        <v>23787.13743729124</v>
      </c>
      <c r="E177" s="324">
        <v>23788.40173226946</v>
      </c>
      <c r="F177" s="324">
        <v>24208.881074889552</v>
      </c>
      <c r="G177" s="324">
        <v>24509.01142300275</v>
      </c>
      <c r="H177" s="326">
        <v>24367.193239508491</v>
      </c>
      <c r="I177" s="39">
        <f t="shared" si="124"/>
        <v>24074.210887995829</v>
      </c>
      <c r="J177" s="39">
        <f t="shared" si="130"/>
        <v>144445.26532797498</v>
      </c>
      <c r="K177" s="2"/>
      <c r="L177" s="187"/>
      <c r="M177" s="2"/>
      <c r="X177" s="11"/>
    </row>
    <row r="178" spans="1:24" x14ac:dyDescent="0.3">
      <c r="A178" s="36" t="s">
        <v>493</v>
      </c>
      <c r="B178" s="37">
        <f>IFERROR(J178/(J$13+J$44+J$75),"-")</f>
        <v>3.6749999999999999E-3</v>
      </c>
      <c r="C178" s="324">
        <v>1383.0648276899949</v>
      </c>
      <c r="D178" s="324">
        <v>1383.0648276899949</v>
      </c>
      <c r="E178" s="324">
        <v>1383.0648276899949</v>
      </c>
      <c r="F178" s="324">
        <v>1383.0648276899949</v>
      </c>
      <c r="G178" s="324">
        <v>1383.0648276899949</v>
      </c>
      <c r="H178" s="326">
        <v>1383.0648276899949</v>
      </c>
      <c r="I178" s="39">
        <f t="shared" si="124"/>
        <v>1383.0648276899949</v>
      </c>
      <c r="J178" s="39">
        <f t="shared" si="130"/>
        <v>8298.3889661399699</v>
      </c>
      <c r="K178" s="2"/>
      <c r="L178" s="187"/>
      <c r="M178" s="2"/>
      <c r="X178" s="11"/>
    </row>
    <row r="179" spans="1:24" x14ac:dyDescent="0.3">
      <c r="A179" s="36" t="s">
        <v>494</v>
      </c>
      <c r="B179" s="37">
        <f>IFERROR(J179/(J$14+J$45+J$76),"-")</f>
        <v>3.6749999999999999E-3</v>
      </c>
      <c r="C179" s="324">
        <v>3408.9279222846599</v>
      </c>
      <c r="D179" s="324">
        <v>6421.3883360601367</v>
      </c>
      <c r="E179" s="324">
        <v>8149.9900957487853</v>
      </c>
      <c r="F179" s="324">
        <v>9393.5991134442975</v>
      </c>
      <c r="G179" s="324">
        <v>10556.09176097755</v>
      </c>
      <c r="H179" s="326">
        <v>11834.591890521153</v>
      </c>
      <c r="I179" s="39">
        <f t="shared" si="124"/>
        <v>8294.0981865060967</v>
      </c>
      <c r="J179" s="39">
        <f t="shared" si="130"/>
        <v>49764.58911903658</v>
      </c>
      <c r="K179" s="2"/>
      <c r="L179" s="187"/>
      <c r="M179" s="2"/>
      <c r="X179" s="11"/>
    </row>
    <row r="180" spans="1:24" x14ac:dyDescent="0.3">
      <c r="A180" s="116" t="s">
        <v>495</v>
      </c>
      <c r="B180" s="313">
        <f>IFERROR(J180/(J$15+J$46+J$77),"-")</f>
        <v>2.465811904761905E-2</v>
      </c>
      <c r="C180" s="294">
        <f>SUM(C181:C184)</f>
        <v>62188.62104300654</v>
      </c>
      <c r="D180" s="297">
        <f t="shared" ref="D180" si="131">SUM(D181:D184)</f>
        <v>62188.62104300654</v>
      </c>
      <c r="E180" s="297">
        <f t="shared" ref="E180" si="132">SUM(E181:E184)</f>
        <v>62188.62104300654</v>
      </c>
      <c r="F180" s="297">
        <f t="shared" ref="F180" si="133">SUM(F181:F184)</f>
        <v>62188.62104300654</v>
      </c>
      <c r="G180" s="297">
        <f t="shared" ref="G180" si="134">SUM(G181:G184)</f>
        <v>62188.62104300654</v>
      </c>
      <c r="H180" s="296">
        <f t="shared" ref="H180" si="135">SUM(H181:H184)</f>
        <v>62188.62104300654</v>
      </c>
      <c r="I180" s="62">
        <f t="shared" si="124"/>
        <v>62188.62104300654</v>
      </c>
      <c r="J180" s="62">
        <f t="shared" si="130"/>
        <v>373131.72625803924</v>
      </c>
      <c r="K180" s="2"/>
      <c r="L180" s="195"/>
      <c r="M180" s="2"/>
      <c r="X180" s="11"/>
    </row>
    <row r="181" spans="1:24" x14ac:dyDescent="0.3">
      <c r="A181" s="36" t="s">
        <v>491</v>
      </c>
      <c r="B181" s="37" t="str">
        <f>IFERROR(J181/(J$16+J$47+J$78),"-")</f>
        <v>-</v>
      </c>
      <c r="C181" s="324">
        <v>0</v>
      </c>
      <c r="D181" s="324">
        <v>0</v>
      </c>
      <c r="E181" s="324">
        <v>0</v>
      </c>
      <c r="F181" s="324">
        <v>0</v>
      </c>
      <c r="G181" s="324">
        <v>0</v>
      </c>
      <c r="H181" s="326">
        <v>0</v>
      </c>
      <c r="I181" s="39">
        <f t="shared" si="124"/>
        <v>0</v>
      </c>
      <c r="J181" s="39">
        <f t="shared" si="130"/>
        <v>0</v>
      </c>
      <c r="K181" s="2"/>
      <c r="L181" s="187"/>
      <c r="M181" s="2"/>
      <c r="X181" s="11"/>
    </row>
    <row r="182" spans="1:24" x14ac:dyDescent="0.3">
      <c r="A182" s="36" t="s">
        <v>492</v>
      </c>
      <c r="B182" s="37">
        <f>IFERROR(J182/(J$17+J$48+J$79),"-")</f>
        <v>2.465811904761905E-2</v>
      </c>
      <c r="C182" s="324">
        <v>62188.62104300654</v>
      </c>
      <c r="D182" s="324">
        <v>62188.62104300654</v>
      </c>
      <c r="E182" s="324">
        <v>62188.62104300654</v>
      </c>
      <c r="F182" s="324">
        <v>62188.62104300654</v>
      </c>
      <c r="G182" s="324">
        <v>62188.62104300654</v>
      </c>
      <c r="H182" s="326">
        <v>62188.62104300654</v>
      </c>
      <c r="I182" s="39">
        <f t="shared" ref="I182" si="136">IFERROR(AVERAGE(C182:H182),0)</f>
        <v>62188.62104300654</v>
      </c>
      <c r="J182" s="39">
        <f t="shared" ref="J182" si="137">SUM(C182:H182)</f>
        <v>373131.72625803924</v>
      </c>
      <c r="K182" s="2"/>
      <c r="L182" s="187"/>
      <c r="M182" s="2"/>
      <c r="X182" s="11"/>
    </row>
    <row r="183" spans="1:24" x14ac:dyDescent="0.3">
      <c r="A183" s="36" t="s">
        <v>493</v>
      </c>
      <c r="B183" s="37" t="str">
        <f>IFERROR(J183/(J$18+J$49+J$80),"-")</f>
        <v>-</v>
      </c>
      <c r="C183" s="324">
        <v>0</v>
      </c>
      <c r="D183" s="324">
        <v>0</v>
      </c>
      <c r="E183" s="324">
        <v>0</v>
      </c>
      <c r="F183" s="324">
        <v>0</v>
      </c>
      <c r="G183" s="324">
        <v>0</v>
      </c>
      <c r="H183" s="326">
        <v>0</v>
      </c>
      <c r="I183" s="39">
        <f t="shared" si="124"/>
        <v>0</v>
      </c>
      <c r="J183" s="39">
        <f t="shared" si="130"/>
        <v>0</v>
      </c>
      <c r="K183" s="2"/>
      <c r="L183" s="187"/>
      <c r="M183" s="2"/>
      <c r="X183" s="11"/>
    </row>
    <row r="184" spans="1:24" x14ac:dyDescent="0.3">
      <c r="A184" s="59" t="s">
        <v>494</v>
      </c>
      <c r="B184" s="79" t="str">
        <f>IFERROR(J184/(J$19+J$50+J$81),"-")</f>
        <v>-</v>
      </c>
      <c r="C184" s="330">
        <v>0</v>
      </c>
      <c r="D184" s="330">
        <v>0</v>
      </c>
      <c r="E184" s="330">
        <v>0</v>
      </c>
      <c r="F184" s="330">
        <v>0</v>
      </c>
      <c r="G184" s="330">
        <v>0</v>
      </c>
      <c r="H184" s="331">
        <v>0</v>
      </c>
      <c r="I184" s="229">
        <f t="shared" si="124"/>
        <v>0</v>
      </c>
      <c r="J184" s="229">
        <f t="shared" si="130"/>
        <v>0</v>
      </c>
      <c r="K184" s="2"/>
      <c r="L184" s="202"/>
      <c r="M184" s="2"/>
      <c r="X184" s="11"/>
    </row>
    <row r="185" spans="1:24" x14ac:dyDescent="0.3">
      <c r="A185" s="116" t="s">
        <v>496</v>
      </c>
      <c r="B185" s="313" t="str">
        <f>IFERROR(J185/(J$20+J$51+J$82),"-")</f>
        <v>-</v>
      </c>
      <c r="C185" s="294">
        <f>SUM(C186:C189)</f>
        <v>0</v>
      </c>
      <c r="D185" s="297">
        <f t="shared" ref="D185:H185" si="138">SUM(D186:D189)</f>
        <v>0</v>
      </c>
      <c r="E185" s="297">
        <f t="shared" si="138"/>
        <v>0</v>
      </c>
      <c r="F185" s="297">
        <f t="shared" si="138"/>
        <v>0</v>
      </c>
      <c r="G185" s="297">
        <f t="shared" si="138"/>
        <v>0</v>
      </c>
      <c r="H185" s="296">
        <f t="shared" si="138"/>
        <v>0</v>
      </c>
      <c r="I185" s="62">
        <f t="shared" si="124"/>
        <v>0</v>
      </c>
      <c r="J185" s="62">
        <f>SUM(C185:H185)</f>
        <v>0</v>
      </c>
      <c r="K185" s="2"/>
      <c r="L185" s="187"/>
      <c r="M185" s="2"/>
      <c r="X185" s="11"/>
    </row>
    <row r="186" spans="1:24" x14ac:dyDescent="0.3">
      <c r="A186" s="36" t="s">
        <v>491</v>
      </c>
      <c r="B186" s="37" t="str">
        <f>IFERROR(J186/(J$21+J$52+J$83),"-")</f>
        <v>-</v>
      </c>
      <c r="C186" s="324">
        <v>0</v>
      </c>
      <c r="D186" s="325">
        <v>0</v>
      </c>
      <c r="E186" s="325">
        <v>0</v>
      </c>
      <c r="F186" s="325">
        <v>0</v>
      </c>
      <c r="G186" s="325">
        <v>0</v>
      </c>
      <c r="H186" s="326">
        <v>0</v>
      </c>
      <c r="I186" s="10">
        <f t="shared" si="124"/>
        <v>0</v>
      </c>
      <c r="J186" s="39">
        <f t="shared" ref="J186:J194" si="139">SUM(C186:H186)</f>
        <v>0</v>
      </c>
      <c r="K186" s="2"/>
      <c r="L186" s="186"/>
      <c r="M186" s="2"/>
      <c r="X186" s="11"/>
    </row>
    <row r="187" spans="1:24" ht="13.15" customHeight="1" x14ac:dyDescent="0.3">
      <c r="A187" s="36" t="s">
        <v>492</v>
      </c>
      <c r="B187" s="37" t="str">
        <f>IFERROR(J187/(J$22+J$53+J$84),"-")</f>
        <v>-</v>
      </c>
      <c r="C187" s="324">
        <v>0</v>
      </c>
      <c r="D187" s="324">
        <v>0</v>
      </c>
      <c r="E187" s="324">
        <v>0</v>
      </c>
      <c r="F187" s="324">
        <v>0</v>
      </c>
      <c r="G187" s="324">
        <v>0</v>
      </c>
      <c r="H187" s="326">
        <v>0</v>
      </c>
      <c r="I187" s="39">
        <f t="shared" si="124"/>
        <v>0</v>
      </c>
      <c r="J187" s="39">
        <f t="shared" si="139"/>
        <v>0</v>
      </c>
      <c r="K187" s="2"/>
      <c r="L187" s="187"/>
      <c r="M187" s="2"/>
      <c r="X187" s="11"/>
    </row>
    <row r="188" spans="1:24" x14ac:dyDescent="0.3">
      <c r="A188" s="36" t="s">
        <v>493</v>
      </c>
      <c r="B188" s="37" t="str">
        <f>IFERROR(J188/(J$23+J$54+J$85),"-")</f>
        <v>-</v>
      </c>
      <c r="C188" s="324">
        <v>0</v>
      </c>
      <c r="D188" s="324">
        <v>0</v>
      </c>
      <c r="E188" s="324">
        <v>0</v>
      </c>
      <c r="F188" s="324">
        <v>0</v>
      </c>
      <c r="G188" s="324">
        <v>0</v>
      </c>
      <c r="H188" s="326">
        <v>0</v>
      </c>
      <c r="I188" s="39">
        <f t="shared" si="124"/>
        <v>0</v>
      </c>
      <c r="J188" s="39">
        <f t="shared" si="139"/>
        <v>0</v>
      </c>
      <c r="K188" s="2"/>
      <c r="L188" s="187"/>
      <c r="M188" s="2"/>
      <c r="X188" s="11"/>
    </row>
    <row r="189" spans="1:24" x14ac:dyDescent="0.3">
      <c r="A189" s="36" t="s">
        <v>494</v>
      </c>
      <c r="B189" s="37" t="str">
        <f>IFERROR(J189/(J$24+J$55+J$86),"-")</f>
        <v>-</v>
      </c>
      <c r="C189" s="324">
        <v>0</v>
      </c>
      <c r="D189" s="324">
        <v>0</v>
      </c>
      <c r="E189" s="324">
        <v>0</v>
      </c>
      <c r="F189" s="324">
        <v>0</v>
      </c>
      <c r="G189" s="324">
        <v>0</v>
      </c>
      <c r="H189" s="326">
        <v>0</v>
      </c>
      <c r="I189" s="39">
        <f t="shared" si="124"/>
        <v>0</v>
      </c>
      <c r="J189" s="39">
        <f t="shared" si="139"/>
        <v>0</v>
      </c>
      <c r="K189" s="2"/>
      <c r="L189" s="187"/>
      <c r="M189" s="2"/>
      <c r="X189" s="11"/>
    </row>
    <row r="190" spans="1:24" x14ac:dyDescent="0.3">
      <c r="A190" s="116" t="s">
        <v>272</v>
      </c>
      <c r="B190" s="313">
        <f>IFERROR(J190/(J$25+J$56+J$87),"-")</f>
        <v>2.0028202177577374E-3</v>
      </c>
      <c r="C190" s="294">
        <f>SUM(C191:C194)</f>
        <v>560.86451889222883</v>
      </c>
      <c r="D190" s="297">
        <f t="shared" ref="D190:H190" si="140">SUM(D191:D194)</f>
        <v>560.86451889222883</v>
      </c>
      <c r="E190" s="297">
        <f t="shared" si="140"/>
        <v>560.86451889222883</v>
      </c>
      <c r="F190" s="297">
        <f t="shared" si="140"/>
        <v>858.36325775843352</v>
      </c>
      <c r="G190" s="297">
        <f t="shared" si="140"/>
        <v>1068.5586283966122</v>
      </c>
      <c r="H190" s="296">
        <f t="shared" si="140"/>
        <v>1167.6683805989833</v>
      </c>
      <c r="I190" s="62">
        <f t="shared" si="124"/>
        <v>796.19730390511938</v>
      </c>
      <c r="J190" s="62">
        <f t="shared" si="139"/>
        <v>4777.1838234307161</v>
      </c>
      <c r="K190" s="2"/>
      <c r="L190" s="195"/>
      <c r="M190" s="2"/>
      <c r="X190" s="11"/>
    </row>
    <row r="191" spans="1:24" x14ac:dyDescent="0.3">
      <c r="A191" s="36" t="s">
        <v>491</v>
      </c>
      <c r="B191" s="37">
        <f>IFERROR(J191/(J$26+J$57+J$88),"-")</f>
        <v>1.6817428571428575E-3</v>
      </c>
      <c r="C191" s="324">
        <v>560.86451889222883</v>
      </c>
      <c r="D191" s="324">
        <v>560.86451889222883</v>
      </c>
      <c r="E191" s="324">
        <v>560.86451889222883</v>
      </c>
      <c r="F191" s="324">
        <v>560.86451889222883</v>
      </c>
      <c r="G191" s="324">
        <v>560.86451889222883</v>
      </c>
      <c r="H191" s="326">
        <v>560.86451889222883</v>
      </c>
      <c r="I191" s="39">
        <f t="shared" si="124"/>
        <v>560.86451889222883</v>
      </c>
      <c r="J191" s="39">
        <f t="shared" si="139"/>
        <v>3365.1871133533728</v>
      </c>
      <c r="K191" s="2"/>
      <c r="L191" s="187"/>
      <c r="M191" s="2"/>
      <c r="X191" s="11"/>
    </row>
    <row r="192" spans="1:24" x14ac:dyDescent="0.3">
      <c r="A192" s="36" t="s">
        <v>492</v>
      </c>
      <c r="B192" s="37" t="str">
        <f>IFERROR(J192/(J$27+J$58+J$89),"-")</f>
        <v>-</v>
      </c>
      <c r="C192" s="324">
        <v>0</v>
      </c>
      <c r="D192" s="324">
        <v>0</v>
      </c>
      <c r="E192" s="324">
        <v>0</v>
      </c>
      <c r="F192" s="324">
        <v>0</v>
      </c>
      <c r="G192" s="324">
        <v>0</v>
      </c>
      <c r="H192" s="326">
        <v>0</v>
      </c>
      <c r="I192" s="39">
        <f t="shared" si="124"/>
        <v>0</v>
      </c>
      <c r="J192" s="39">
        <f t="shared" si="139"/>
        <v>0</v>
      </c>
      <c r="K192" s="2"/>
      <c r="L192" s="187"/>
      <c r="M192" s="2"/>
      <c r="X192" s="11"/>
    </row>
    <row r="193" spans="1:24" x14ac:dyDescent="0.3">
      <c r="A193" s="36" t="s">
        <v>493</v>
      </c>
      <c r="B193" s="37" t="str">
        <f>IFERROR(J193/(J$28+J$59+J$90),"-")</f>
        <v>-</v>
      </c>
      <c r="C193" s="324">
        <v>0</v>
      </c>
      <c r="D193" s="324">
        <v>0</v>
      </c>
      <c r="E193" s="324">
        <v>0</v>
      </c>
      <c r="F193" s="324">
        <v>0</v>
      </c>
      <c r="G193" s="324">
        <v>0</v>
      </c>
      <c r="H193" s="326">
        <v>0</v>
      </c>
      <c r="I193" s="39">
        <f t="shared" si="124"/>
        <v>0</v>
      </c>
      <c r="J193" s="39">
        <f t="shared" si="139"/>
        <v>0</v>
      </c>
      <c r="K193" s="2"/>
      <c r="L193" s="187"/>
      <c r="M193" s="2"/>
      <c r="X193" s="11"/>
    </row>
    <row r="194" spans="1:24" x14ac:dyDescent="0.3">
      <c r="A194" s="59" t="s">
        <v>494</v>
      </c>
      <c r="B194" s="79">
        <f>IFERROR(J194/(J$29+J$60+J$91),"-")</f>
        <v>3.6749999999999994E-3</v>
      </c>
      <c r="C194" s="330">
        <v>0</v>
      </c>
      <c r="D194" s="330">
        <v>0</v>
      </c>
      <c r="E194" s="330">
        <v>0</v>
      </c>
      <c r="F194" s="330">
        <v>297.49873886620469</v>
      </c>
      <c r="G194" s="330">
        <v>507.69410950438328</v>
      </c>
      <c r="H194" s="331">
        <v>606.80386170675456</v>
      </c>
      <c r="I194" s="229">
        <f t="shared" si="124"/>
        <v>235.33278501289041</v>
      </c>
      <c r="J194" s="229">
        <f t="shared" si="139"/>
        <v>1411.9967100773424</v>
      </c>
      <c r="K194" s="2"/>
      <c r="L194" s="202"/>
      <c r="M194" s="2"/>
      <c r="X194" s="11"/>
    </row>
    <row r="195" spans="1:24" x14ac:dyDescent="0.3">
      <c r="A195" s="116" t="s">
        <v>274</v>
      </c>
      <c r="B195" s="313">
        <f>IFERROR(J195/(J$30+J$61+J$92),"-")</f>
        <v>1.438760250940584E-2</v>
      </c>
      <c r="C195" s="294">
        <f>SUM(C196:C199)</f>
        <v>9483.0264539516302</v>
      </c>
      <c r="D195" s="297">
        <f t="shared" ref="D195:H195" si="141">SUM(D196:D199)</f>
        <v>9483.0264539516302</v>
      </c>
      <c r="E195" s="297">
        <f t="shared" si="141"/>
        <v>9483.0264539516302</v>
      </c>
      <c r="F195" s="297">
        <f t="shared" si="141"/>
        <v>8891.8470422741339</v>
      </c>
      <c r="G195" s="297">
        <f t="shared" si="141"/>
        <v>8478.3216846848154</v>
      </c>
      <c r="H195" s="296">
        <f t="shared" si="141"/>
        <v>8281.3733828305722</v>
      </c>
      <c r="I195" s="62">
        <f t="shared" ref="I195:I204" si="142">IFERROR(AVERAGE(C195:H195),0)</f>
        <v>9016.7702452740687</v>
      </c>
      <c r="J195" s="62">
        <f>SUM(C195:H195)</f>
        <v>54100.621471644416</v>
      </c>
      <c r="K195" s="2"/>
      <c r="L195" s="187"/>
      <c r="M195" s="2"/>
      <c r="X195" s="11"/>
    </row>
    <row r="196" spans="1:24" x14ac:dyDescent="0.3">
      <c r="A196" s="36" t="s">
        <v>491</v>
      </c>
      <c r="B196" s="37">
        <f>IFERROR(J196/(J$31+J$62+J$93),"-")</f>
        <v>7.2726666666666686E-3</v>
      </c>
      <c r="C196" s="324">
        <v>1674.5079487780245</v>
      </c>
      <c r="D196" s="325">
        <v>1674.5079487780245</v>
      </c>
      <c r="E196" s="325">
        <v>1674.5079487780245</v>
      </c>
      <c r="F196" s="325">
        <v>1087.6048342008419</v>
      </c>
      <c r="G196" s="325">
        <v>669.80317951120992</v>
      </c>
      <c r="H196" s="326">
        <v>474.28083063453556</v>
      </c>
      <c r="I196" s="10">
        <f t="shared" si="142"/>
        <v>1209.2021151134436</v>
      </c>
      <c r="J196" s="39">
        <f t="shared" ref="J196:J204" si="143">SUM(C196:H196)</f>
        <v>7255.2126906806616</v>
      </c>
      <c r="K196" s="2"/>
      <c r="L196" s="186"/>
      <c r="M196" s="2"/>
      <c r="X196" s="11"/>
    </row>
    <row r="197" spans="1:24" ht="13.15" customHeight="1" x14ac:dyDescent="0.3">
      <c r="A197" s="36" t="s">
        <v>492</v>
      </c>
      <c r="B197" s="37">
        <f>IFERROR(J197/(J$32+J$63+J$94),"-")</f>
        <v>1.6956847619047619E-2</v>
      </c>
      <c r="C197" s="324">
        <v>7808.5185051736053</v>
      </c>
      <c r="D197" s="324">
        <v>7808.5185051736053</v>
      </c>
      <c r="E197" s="324">
        <v>7808.5185051736053</v>
      </c>
      <c r="F197" s="324">
        <v>7804.2422080732922</v>
      </c>
      <c r="G197" s="324">
        <v>7808.5185051736053</v>
      </c>
      <c r="H197" s="326">
        <v>7807.0925521960371</v>
      </c>
      <c r="I197" s="39">
        <f t="shared" si="142"/>
        <v>7807.5681301606246</v>
      </c>
      <c r="J197" s="39">
        <f t="shared" si="143"/>
        <v>46845.408780963749</v>
      </c>
      <c r="K197" s="2"/>
      <c r="L197" s="187"/>
      <c r="M197" s="2"/>
      <c r="X197" s="11"/>
    </row>
    <row r="198" spans="1:24" x14ac:dyDescent="0.3">
      <c r="A198" s="36" t="s">
        <v>493</v>
      </c>
      <c r="B198" s="37" t="str">
        <f>IFERROR(J198/(J$33+J$64+J$95),"-")</f>
        <v>-</v>
      </c>
      <c r="C198" s="324">
        <v>0</v>
      </c>
      <c r="D198" s="324">
        <v>0</v>
      </c>
      <c r="E198" s="324">
        <v>0</v>
      </c>
      <c r="F198" s="324">
        <v>0</v>
      </c>
      <c r="G198" s="324">
        <v>0</v>
      </c>
      <c r="H198" s="326">
        <v>0</v>
      </c>
      <c r="I198" s="39">
        <f t="shared" si="142"/>
        <v>0</v>
      </c>
      <c r="J198" s="39">
        <f t="shared" si="143"/>
        <v>0</v>
      </c>
      <c r="K198" s="2"/>
      <c r="L198" s="187"/>
      <c r="M198" s="2"/>
      <c r="X198" s="11"/>
    </row>
    <row r="199" spans="1:24" x14ac:dyDescent="0.3">
      <c r="A199" s="36" t="s">
        <v>494</v>
      </c>
      <c r="B199" s="37" t="str">
        <f>IFERROR(J199/(J$34+J$65+J$96),"-")</f>
        <v>-</v>
      </c>
      <c r="C199" s="324">
        <v>0</v>
      </c>
      <c r="D199" s="324">
        <v>0</v>
      </c>
      <c r="E199" s="324">
        <v>0</v>
      </c>
      <c r="F199" s="324">
        <v>0</v>
      </c>
      <c r="G199" s="324">
        <v>0</v>
      </c>
      <c r="H199" s="326">
        <v>0</v>
      </c>
      <c r="I199" s="39">
        <f t="shared" si="142"/>
        <v>0</v>
      </c>
      <c r="J199" s="39">
        <f t="shared" si="143"/>
        <v>0</v>
      </c>
      <c r="K199" s="2"/>
      <c r="L199" s="187"/>
      <c r="M199" s="2"/>
      <c r="X199" s="11"/>
    </row>
    <row r="200" spans="1:24" x14ac:dyDescent="0.3">
      <c r="A200" s="116" t="s">
        <v>462</v>
      </c>
      <c r="B200" s="313" t="str">
        <f>IFERROR(J200/(J$35+J$66+J$97),"-")</f>
        <v>-</v>
      </c>
      <c r="C200" s="294">
        <f>SUM(C201:C204)</f>
        <v>0</v>
      </c>
      <c r="D200" s="297">
        <f t="shared" ref="D200:H200" si="144">SUM(D201:D204)</f>
        <v>0</v>
      </c>
      <c r="E200" s="297">
        <f t="shared" si="144"/>
        <v>0</v>
      </c>
      <c r="F200" s="297">
        <f t="shared" si="144"/>
        <v>0</v>
      </c>
      <c r="G200" s="297">
        <f t="shared" si="144"/>
        <v>0</v>
      </c>
      <c r="H200" s="296">
        <f t="shared" si="144"/>
        <v>0</v>
      </c>
      <c r="I200" s="62">
        <f t="shared" si="142"/>
        <v>0</v>
      </c>
      <c r="J200" s="62">
        <f t="shared" si="143"/>
        <v>0</v>
      </c>
      <c r="K200" s="2"/>
      <c r="L200" s="195"/>
      <c r="M200" s="2"/>
      <c r="X200" s="11"/>
    </row>
    <row r="201" spans="1:24" x14ac:dyDescent="0.3">
      <c r="A201" s="36" t="s">
        <v>491</v>
      </c>
      <c r="B201" s="37" t="str">
        <f>IFERROR(J201/(J$36+J$67+J$98),"-")</f>
        <v>-</v>
      </c>
      <c r="C201" s="324">
        <v>0</v>
      </c>
      <c r="D201" s="324">
        <v>0</v>
      </c>
      <c r="E201" s="324">
        <v>0</v>
      </c>
      <c r="F201" s="324">
        <v>0</v>
      </c>
      <c r="G201" s="324">
        <v>0</v>
      </c>
      <c r="H201" s="326">
        <v>0</v>
      </c>
      <c r="I201" s="39">
        <f t="shared" si="142"/>
        <v>0</v>
      </c>
      <c r="J201" s="39">
        <f t="shared" si="143"/>
        <v>0</v>
      </c>
      <c r="K201" s="2"/>
      <c r="L201" s="187"/>
      <c r="M201" s="2"/>
      <c r="X201" s="11"/>
    </row>
    <row r="202" spans="1:24" x14ac:dyDescent="0.3">
      <c r="A202" s="36" t="s">
        <v>492</v>
      </c>
      <c r="B202" s="37" t="str">
        <f>IFERROR(J202/(J$37+J$68+J$99),"-")</f>
        <v>-</v>
      </c>
      <c r="C202" s="324">
        <v>0</v>
      </c>
      <c r="D202" s="324">
        <v>0</v>
      </c>
      <c r="E202" s="324">
        <v>0</v>
      </c>
      <c r="F202" s="324">
        <v>0</v>
      </c>
      <c r="G202" s="324">
        <v>0</v>
      </c>
      <c r="H202" s="326">
        <v>0</v>
      </c>
      <c r="I202" s="39">
        <f t="shared" si="142"/>
        <v>0</v>
      </c>
      <c r="J202" s="39">
        <f t="shared" si="143"/>
        <v>0</v>
      </c>
      <c r="K202" s="2"/>
      <c r="L202" s="187"/>
      <c r="M202" s="2"/>
      <c r="X202" s="11"/>
    </row>
    <row r="203" spans="1:24" x14ac:dyDescent="0.3">
      <c r="A203" s="36" t="s">
        <v>493</v>
      </c>
      <c r="B203" s="37" t="str">
        <f>IFERROR(J203/(J$38+J$69+J$100),"-")</f>
        <v>-</v>
      </c>
      <c r="C203" s="324">
        <v>0</v>
      </c>
      <c r="D203" s="324">
        <v>0</v>
      </c>
      <c r="E203" s="324">
        <v>0</v>
      </c>
      <c r="F203" s="324">
        <v>0</v>
      </c>
      <c r="G203" s="324">
        <v>0</v>
      </c>
      <c r="H203" s="326">
        <v>0</v>
      </c>
      <c r="I203" s="39">
        <f t="shared" si="142"/>
        <v>0</v>
      </c>
      <c r="J203" s="39">
        <f t="shared" si="143"/>
        <v>0</v>
      </c>
      <c r="K203" s="2"/>
      <c r="L203" s="187"/>
      <c r="M203" s="2"/>
      <c r="X203" s="11"/>
    </row>
    <row r="204" spans="1:24" x14ac:dyDescent="0.3">
      <c r="A204" s="59" t="s">
        <v>494</v>
      </c>
      <c r="B204" s="79" t="str">
        <f>IFERROR(J204/(J$39+J$70+J$101),"-")</f>
        <v>-</v>
      </c>
      <c r="C204" s="330">
        <v>0</v>
      </c>
      <c r="D204" s="330">
        <v>0</v>
      </c>
      <c r="E204" s="330">
        <v>0</v>
      </c>
      <c r="F204" s="330">
        <v>0</v>
      </c>
      <c r="G204" s="330">
        <v>0</v>
      </c>
      <c r="H204" s="331">
        <v>0</v>
      </c>
      <c r="I204" s="229">
        <f t="shared" si="142"/>
        <v>0</v>
      </c>
      <c r="J204" s="229">
        <f t="shared" si="143"/>
        <v>0</v>
      </c>
      <c r="K204" s="2"/>
      <c r="L204" s="202"/>
      <c r="M204" s="2"/>
      <c r="X204" s="11"/>
    </row>
    <row r="205" spans="1:24" x14ac:dyDescent="0.3">
      <c r="A205" s="115" t="s">
        <v>72</v>
      </c>
      <c r="B205" s="53"/>
      <c r="C205" s="223">
        <f>C206+C211+C216+C221+C226+C231</f>
        <v>171220.09158400001</v>
      </c>
      <c r="D205" s="221">
        <f t="shared" ref="D205" si="145">D206+D211+D216+D221+D226+D231</f>
        <v>171220.09158399989</v>
      </c>
      <c r="E205" s="221">
        <f t="shared" ref="E205" si="146">E206+E211+E216+E221+E226+E231</f>
        <v>171220.09158400001</v>
      </c>
      <c r="F205" s="221">
        <f t="shared" ref="F205" si="147">F206+F211+F216+F221+F226+F231</f>
        <v>171220.09158399989</v>
      </c>
      <c r="G205" s="221">
        <f t="shared" ref="G205" si="148">G206+G211+G216+G221+G226+G231</f>
        <v>171220.09158399995</v>
      </c>
      <c r="H205" s="222">
        <f t="shared" ref="H205" si="149">H206+H211+H216+H221+H226+H231</f>
        <v>171220.09158400007</v>
      </c>
      <c r="I205" s="301">
        <f t="shared" ref="I205:I225" si="150">IFERROR(AVERAGE(C205:H205),0)</f>
        <v>171220.09158399995</v>
      </c>
      <c r="J205" s="301">
        <f>SUM(C205:H205)</f>
        <v>1027320.5495039998</v>
      </c>
      <c r="K205" s="2"/>
      <c r="L205" s="494" t="s">
        <v>310</v>
      </c>
      <c r="M205" s="2"/>
    </row>
    <row r="206" spans="1:24" x14ac:dyDescent="0.3">
      <c r="A206" s="116" t="s">
        <v>273</v>
      </c>
      <c r="B206" s="313">
        <f>IFERROR(J206/(J$10+J$41+J$72),"-")</f>
        <v>1.89E-2</v>
      </c>
      <c r="C206" s="294">
        <f>SUM(C207:C210)</f>
        <v>102554.24474786941</v>
      </c>
      <c r="D206" s="297">
        <f t="shared" ref="D206" si="151">SUM(D207:D210)</f>
        <v>102554.24474786932</v>
      </c>
      <c r="E206" s="297">
        <f t="shared" ref="E206" si="152">SUM(E207:E210)</f>
        <v>102554.24474786944</v>
      </c>
      <c r="F206" s="297">
        <f t="shared" ref="F206" si="153">SUM(F207:F210)</f>
        <v>102554.24474786932</v>
      </c>
      <c r="G206" s="297">
        <f t="shared" ref="G206" si="154">SUM(G207:G210)</f>
        <v>102554.24474786935</v>
      </c>
      <c r="H206" s="296">
        <f t="shared" ref="H206" si="155">SUM(H207:H210)</f>
        <v>102554.24474786947</v>
      </c>
      <c r="I206" s="62">
        <f t="shared" si="150"/>
        <v>102554.24474786938</v>
      </c>
      <c r="J206" s="62">
        <f>SUM(C206:H206)</f>
        <v>615325.46848721628</v>
      </c>
      <c r="K206" s="2"/>
      <c r="L206" s="187"/>
      <c r="M206" s="2"/>
    </row>
    <row r="207" spans="1:24" x14ac:dyDescent="0.3">
      <c r="A207" s="36" t="s">
        <v>491</v>
      </c>
      <c r="B207" s="37">
        <f>IFERROR(J207/(J$11+J$42+J$73),"-")</f>
        <v>1.8899999999999997E-2</v>
      </c>
      <c r="C207" s="324">
        <v>51399.493962504479</v>
      </c>
      <c r="D207" s="325">
        <v>35904.057246674311</v>
      </c>
      <c r="E207" s="325">
        <v>27012.696164153134</v>
      </c>
      <c r="F207" s="325">
        <v>20148.328907420564</v>
      </c>
      <c r="G207" s="325">
        <v>13835.271817197558</v>
      </c>
      <c r="H207" s="326">
        <v>7418.1979850997477</v>
      </c>
      <c r="I207" s="10">
        <f t="shared" si="150"/>
        <v>25953.007680508297</v>
      </c>
      <c r="J207" s="39">
        <f t="shared" ref="J207:J215" si="156">SUM(C207:H207)</f>
        <v>155718.04608304979</v>
      </c>
      <c r="K207" s="2"/>
      <c r="L207" s="186"/>
      <c r="M207" s="2"/>
    </row>
    <row r="208" spans="1:24" ht="13.15" customHeight="1" x14ac:dyDescent="0.3">
      <c r="A208" s="36" t="s">
        <v>492</v>
      </c>
      <c r="B208" s="37">
        <f>IFERROR(J208/(J$12+J$43+J$74),"-")</f>
        <v>1.8900000000000004E-2</v>
      </c>
      <c r="C208" s="324">
        <v>26510.216642638123</v>
      </c>
      <c r="D208" s="324">
        <v>26512.999801908634</v>
      </c>
      <c r="E208" s="324">
        <v>26514.408977459731</v>
      </c>
      <c r="F208" s="324">
        <v>26983.072714615264</v>
      </c>
      <c r="G208" s="324">
        <v>27317.596188953001</v>
      </c>
      <c r="H208" s="326">
        <v>27159.526497683815</v>
      </c>
      <c r="I208" s="39">
        <f t="shared" si="150"/>
        <v>26832.970137209762</v>
      </c>
      <c r="J208" s="39">
        <f t="shared" si="156"/>
        <v>160997.82082325857</v>
      </c>
      <c r="K208" s="2"/>
      <c r="L208" s="187"/>
      <c r="M208" s="2"/>
    </row>
    <row r="209" spans="1:13" x14ac:dyDescent="0.3">
      <c r="A209" s="36" t="s">
        <v>493</v>
      </c>
      <c r="B209" s="37">
        <f>IFERROR(J209/(J$13+J$44+J$75),"-")</f>
        <v>1.8899999999999997E-2</v>
      </c>
      <c r="C209" s="324">
        <v>7112.904828119973</v>
      </c>
      <c r="D209" s="324">
        <v>7112.904828119973</v>
      </c>
      <c r="E209" s="324">
        <v>7112.904828119973</v>
      </c>
      <c r="F209" s="324">
        <v>7112.904828119973</v>
      </c>
      <c r="G209" s="324">
        <v>7112.904828119973</v>
      </c>
      <c r="H209" s="326">
        <v>7112.904828119973</v>
      </c>
      <c r="I209" s="39">
        <f t="shared" si="150"/>
        <v>7112.904828119973</v>
      </c>
      <c r="J209" s="39">
        <f t="shared" si="156"/>
        <v>42677.42896871984</v>
      </c>
      <c r="K209" s="2"/>
      <c r="L209" s="187"/>
      <c r="M209" s="2"/>
    </row>
    <row r="210" spans="1:13" x14ac:dyDescent="0.3">
      <c r="A210" s="36" t="s">
        <v>494</v>
      </c>
      <c r="B210" s="37">
        <f>IFERROR(J210/(J$14+J$45+J$76),"-")</f>
        <v>1.89E-2</v>
      </c>
      <c r="C210" s="324">
        <v>17531.62931460682</v>
      </c>
      <c r="D210" s="324">
        <v>33024.282871166411</v>
      </c>
      <c r="E210" s="324">
        <v>41914.234778136604</v>
      </c>
      <c r="F210" s="324">
        <v>48309.938297713525</v>
      </c>
      <c r="G210" s="324">
        <v>54288.47191359882</v>
      </c>
      <c r="H210" s="326">
        <v>60863.615436965927</v>
      </c>
      <c r="I210" s="39">
        <f t="shared" si="150"/>
        <v>42655.362102031351</v>
      </c>
      <c r="J210" s="39">
        <f t="shared" si="156"/>
        <v>255932.17261218812</v>
      </c>
      <c r="K210" s="2"/>
      <c r="L210" s="187"/>
      <c r="M210" s="2"/>
    </row>
    <row r="211" spans="1:13" x14ac:dyDescent="0.3">
      <c r="A211" s="116" t="s">
        <v>495</v>
      </c>
      <c r="B211" s="313">
        <f>IFERROR(J211/(J$15+J$46+J$77),"-")</f>
        <v>2.2050000000000004E-2</v>
      </c>
      <c r="C211" s="294">
        <f>SUM(C212:C215)</f>
        <v>55610.855448875009</v>
      </c>
      <c r="D211" s="297">
        <f t="shared" ref="D211" si="157">SUM(D212:D215)</f>
        <v>55610.855448875009</v>
      </c>
      <c r="E211" s="297">
        <f t="shared" ref="E211" si="158">SUM(E212:E215)</f>
        <v>55610.855448875009</v>
      </c>
      <c r="F211" s="297">
        <f t="shared" ref="F211" si="159">SUM(F212:F215)</f>
        <v>55610.855448875009</v>
      </c>
      <c r="G211" s="297">
        <f t="shared" ref="G211" si="160">SUM(G212:G215)</f>
        <v>55610.855448875009</v>
      </c>
      <c r="H211" s="296">
        <f t="shared" ref="H211" si="161">SUM(H212:H215)</f>
        <v>55610.855448875009</v>
      </c>
      <c r="I211" s="62">
        <f t="shared" si="150"/>
        <v>55610.855448875001</v>
      </c>
      <c r="J211" s="62">
        <f t="shared" si="156"/>
        <v>333665.13269325002</v>
      </c>
      <c r="K211" s="2"/>
      <c r="L211" s="195"/>
      <c r="M211" s="2"/>
    </row>
    <row r="212" spans="1:13" x14ac:dyDescent="0.3">
      <c r="A212" s="36" t="s">
        <v>491</v>
      </c>
      <c r="B212" s="37" t="str">
        <f>IFERROR(J212/(J$16+J$47+J$78),"-")</f>
        <v>-</v>
      </c>
      <c r="C212" s="324">
        <v>0</v>
      </c>
      <c r="D212" s="324">
        <v>0</v>
      </c>
      <c r="E212" s="324">
        <v>0</v>
      </c>
      <c r="F212" s="324">
        <v>0</v>
      </c>
      <c r="G212" s="324">
        <v>0</v>
      </c>
      <c r="H212" s="326">
        <v>0</v>
      </c>
      <c r="I212" s="39">
        <f t="shared" si="150"/>
        <v>0</v>
      </c>
      <c r="J212" s="39">
        <f t="shared" si="156"/>
        <v>0</v>
      </c>
      <c r="K212" s="2"/>
      <c r="L212" s="187"/>
      <c r="M212" s="2"/>
    </row>
    <row r="213" spans="1:13" x14ac:dyDescent="0.3">
      <c r="A213" s="36" t="s">
        <v>492</v>
      </c>
      <c r="B213" s="37">
        <f>IFERROR(J213/(J$17+J$48+J$79),"-")</f>
        <v>2.2050000000000004E-2</v>
      </c>
      <c r="C213" s="324">
        <v>55610.855448875009</v>
      </c>
      <c r="D213" s="324">
        <v>55610.855448875009</v>
      </c>
      <c r="E213" s="324">
        <v>55610.855448875009</v>
      </c>
      <c r="F213" s="324">
        <v>55610.855448875009</v>
      </c>
      <c r="G213" s="324">
        <v>55610.855448875009</v>
      </c>
      <c r="H213" s="326">
        <v>55610.855448875009</v>
      </c>
      <c r="I213" s="39">
        <f t="shared" ref="I213" si="162">IFERROR(AVERAGE(C213:H213),0)</f>
        <v>55610.855448875001</v>
      </c>
      <c r="J213" s="39">
        <f t="shared" ref="J213" si="163">SUM(C213:H213)</f>
        <v>333665.13269325002</v>
      </c>
      <c r="K213" s="2"/>
      <c r="L213" s="187"/>
      <c r="M213" s="2"/>
    </row>
    <row r="214" spans="1:13" x14ac:dyDescent="0.3">
      <c r="A214" s="36" t="s">
        <v>493</v>
      </c>
      <c r="B214" s="37" t="str">
        <f>IFERROR(J214/(J$18+J$49+J$80),"-")</f>
        <v>-</v>
      </c>
      <c r="C214" s="324">
        <v>0</v>
      </c>
      <c r="D214" s="324">
        <v>0</v>
      </c>
      <c r="E214" s="324">
        <v>0</v>
      </c>
      <c r="F214" s="324">
        <v>0</v>
      </c>
      <c r="G214" s="324">
        <v>0</v>
      </c>
      <c r="H214" s="326">
        <v>0</v>
      </c>
      <c r="I214" s="39">
        <f t="shared" si="150"/>
        <v>0</v>
      </c>
      <c r="J214" s="39">
        <f t="shared" si="156"/>
        <v>0</v>
      </c>
      <c r="K214" s="2"/>
      <c r="L214" s="187"/>
      <c r="M214" s="2"/>
    </row>
    <row r="215" spans="1:13" x14ac:dyDescent="0.3">
      <c r="A215" s="59" t="s">
        <v>494</v>
      </c>
      <c r="B215" s="79" t="str">
        <f>IFERROR(J215/(J$19+J$50+J$81),"-")</f>
        <v>-</v>
      </c>
      <c r="C215" s="330">
        <v>0</v>
      </c>
      <c r="D215" s="330">
        <v>0</v>
      </c>
      <c r="E215" s="330">
        <v>0</v>
      </c>
      <c r="F215" s="330">
        <v>0</v>
      </c>
      <c r="G215" s="330">
        <v>0</v>
      </c>
      <c r="H215" s="331">
        <v>0</v>
      </c>
      <c r="I215" s="229">
        <f t="shared" si="150"/>
        <v>0</v>
      </c>
      <c r="J215" s="229">
        <f t="shared" si="156"/>
        <v>0</v>
      </c>
      <c r="K215" s="2"/>
      <c r="L215" s="202"/>
      <c r="M215" s="2"/>
    </row>
    <row r="216" spans="1:13" x14ac:dyDescent="0.3">
      <c r="A216" s="116" t="s">
        <v>496</v>
      </c>
      <c r="B216" s="313" t="str">
        <f>IFERROR(J216/(J$20+J$51+J$82),"-")</f>
        <v>-</v>
      </c>
      <c r="C216" s="294">
        <f>SUM(C217:C220)</f>
        <v>0</v>
      </c>
      <c r="D216" s="297">
        <f t="shared" ref="D216:H216" si="164">SUM(D217:D220)</f>
        <v>0</v>
      </c>
      <c r="E216" s="297">
        <f t="shared" si="164"/>
        <v>0</v>
      </c>
      <c r="F216" s="297">
        <f t="shared" si="164"/>
        <v>0</v>
      </c>
      <c r="G216" s="297">
        <f t="shared" si="164"/>
        <v>0</v>
      </c>
      <c r="H216" s="296">
        <f t="shared" si="164"/>
        <v>0</v>
      </c>
      <c r="I216" s="62">
        <f t="shared" si="150"/>
        <v>0</v>
      </c>
      <c r="J216" s="62">
        <f>SUM(C216:H216)</f>
        <v>0</v>
      </c>
      <c r="K216" s="2"/>
      <c r="L216" s="187"/>
      <c r="M216" s="2"/>
    </row>
    <row r="217" spans="1:13" x14ac:dyDescent="0.3">
      <c r="A217" s="36" t="s">
        <v>491</v>
      </c>
      <c r="B217" s="37" t="str">
        <f>IFERROR(J217/(J$21+J$52+J$83),"-")</f>
        <v>-</v>
      </c>
      <c r="C217" s="324">
        <v>0</v>
      </c>
      <c r="D217" s="325">
        <v>0</v>
      </c>
      <c r="E217" s="325">
        <v>0</v>
      </c>
      <c r="F217" s="325">
        <v>0</v>
      </c>
      <c r="G217" s="325">
        <v>0</v>
      </c>
      <c r="H217" s="326">
        <v>0</v>
      </c>
      <c r="I217" s="10">
        <f t="shared" si="150"/>
        <v>0</v>
      </c>
      <c r="J217" s="39">
        <f t="shared" ref="J217:J225" si="165">SUM(C217:H217)</f>
        <v>0</v>
      </c>
      <c r="K217" s="2"/>
      <c r="L217" s="186"/>
      <c r="M217" s="2"/>
    </row>
    <row r="218" spans="1:13" ht="13.15" customHeight="1" x14ac:dyDescent="0.3">
      <c r="A218" s="36" t="s">
        <v>492</v>
      </c>
      <c r="B218" s="37" t="str">
        <f>IFERROR(J218/(J$22+J$53+J$84),"-")</f>
        <v>-</v>
      </c>
      <c r="C218" s="324">
        <v>0</v>
      </c>
      <c r="D218" s="324">
        <v>0</v>
      </c>
      <c r="E218" s="324">
        <v>0</v>
      </c>
      <c r="F218" s="324">
        <v>0</v>
      </c>
      <c r="G218" s="324">
        <v>0</v>
      </c>
      <c r="H218" s="326">
        <v>0</v>
      </c>
      <c r="I218" s="39">
        <f t="shared" si="150"/>
        <v>0</v>
      </c>
      <c r="J218" s="39">
        <f t="shared" si="165"/>
        <v>0</v>
      </c>
      <c r="K218" s="2"/>
      <c r="L218" s="187"/>
      <c r="M218" s="2"/>
    </row>
    <row r="219" spans="1:13" x14ac:dyDescent="0.3">
      <c r="A219" s="36" t="s">
        <v>493</v>
      </c>
      <c r="B219" s="37" t="str">
        <f>IFERROR(J219/(J$23+J$54+J$85),"-")</f>
        <v>-</v>
      </c>
      <c r="C219" s="324">
        <v>0</v>
      </c>
      <c r="D219" s="324">
        <v>0</v>
      </c>
      <c r="E219" s="324">
        <v>0</v>
      </c>
      <c r="F219" s="324">
        <v>0</v>
      </c>
      <c r="G219" s="324">
        <v>0</v>
      </c>
      <c r="H219" s="326">
        <v>0</v>
      </c>
      <c r="I219" s="39">
        <f t="shared" si="150"/>
        <v>0</v>
      </c>
      <c r="J219" s="39">
        <f t="shared" si="165"/>
        <v>0</v>
      </c>
      <c r="K219" s="2"/>
      <c r="L219" s="187"/>
      <c r="M219" s="2"/>
    </row>
    <row r="220" spans="1:13" x14ac:dyDescent="0.3">
      <c r="A220" s="36" t="s">
        <v>494</v>
      </c>
      <c r="B220" s="37" t="str">
        <f>IFERROR(J220/(J$24+J$55+J$86),"-")</f>
        <v>-</v>
      </c>
      <c r="C220" s="324">
        <v>0</v>
      </c>
      <c r="D220" s="324">
        <v>0</v>
      </c>
      <c r="E220" s="324">
        <v>0</v>
      </c>
      <c r="F220" s="324">
        <v>0</v>
      </c>
      <c r="G220" s="324">
        <v>0</v>
      </c>
      <c r="H220" s="326">
        <v>0</v>
      </c>
      <c r="I220" s="39">
        <f t="shared" si="150"/>
        <v>0</v>
      </c>
      <c r="J220" s="39">
        <f t="shared" si="165"/>
        <v>0</v>
      </c>
      <c r="K220" s="2"/>
      <c r="L220" s="187"/>
      <c r="M220" s="2"/>
    </row>
    <row r="221" spans="1:13" x14ac:dyDescent="0.3">
      <c r="A221" s="116" t="s">
        <v>272</v>
      </c>
      <c r="B221" s="313">
        <f>IFERROR(J221/(J$25+J$56+J$87),"-")</f>
        <v>3.0444451872992172E-3</v>
      </c>
      <c r="C221" s="294">
        <f>SUM(C222:C225)</f>
        <v>0</v>
      </c>
      <c r="D221" s="297">
        <f t="shared" ref="D221:H221" si="166">SUM(D222:D225)</f>
        <v>0</v>
      </c>
      <c r="E221" s="297">
        <f t="shared" si="166"/>
        <v>0</v>
      </c>
      <c r="F221" s="297">
        <f t="shared" si="166"/>
        <v>1529.9935141690526</v>
      </c>
      <c r="G221" s="297">
        <f t="shared" si="166"/>
        <v>2610.9982774511136</v>
      </c>
      <c r="H221" s="296">
        <f t="shared" si="166"/>
        <v>3120.7055744918803</v>
      </c>
      <c r="I221" s="62">
        <f t="shared" si="150"/>
        <v>1210.2828943520078</v>
      </c>
      <c r="J221" s="62">
        <f t="shared" si="165"/>
        <v>7261.6973661120464</v>
      </c>
      <c r="K221" s="2"/>
      <c r="L221" s="195"/>
      <c r="M221" s="2"/>
    </row>
    <row r="222" spans="1:13" x14ac:dyDescent="0.3">
      <c r="A222" s="36" t="s">
        <v>491</v>
      </c>
      <c r="B222" s="37">
        <f>IFERROR(J222/(J$26+J$57+J$88),"-")</f>
        <v>0</v>
      </c>
      <c r="C222" s="324">
        <v>0</v>
      </c>
      <c r="D222" s="324">
        <v>0</v>
      </c>
      <c r="E222" s="324">
        <v>0</v>
      </c>
      <c r="F222" s="324">
        <v>0</v>
      </c>
      <c r="G222" s="324">
        <v>0</v>
      </c>
      <c r="H222" s="326">
        <v>0</v>
      </c>
      <c r="I222" s="39">
        <f t="shared" si="150"/>
        <v>0</v>
      </c>
      <c r="J222" s="39">
        <f t="shared" si="165"/>
        <v>0</v>
      </c>
      <c r="K222" s="2"/>
      <c r="L222" s="187"/>
      <c r="M222" s="2"/>
    </row>
    <row r="223" spans="1:13" x14ac:dyDescent="0.3">
      <c r="A223" s="36" t="s">
        <v>492</v>
      </c>
      <c r="B223" s="37" t="str">
        <f>IFERROR(J223/(J$27+J$58+J$89),"-")</f>
        <v>-</v>
      </c>
      <c r="C223" s="324">
        <v>0</v>
      </c>
      <c r="D223" s="324">
        <v>0</v>
      </c>
      <c r="E223" s="324">
        <v>0</v>
      </c>
      <c r="F223" s="324">
        <v>0</v>
      </c>
      <c r="G223" s="324">
        <v>0</v>
      </c>
      <c r="H223" s="326">
        <v>0</v>
      </c>
      <c r="I223" s="39">
        <f t="shared" si="150"/>
        <v>0</v>
      </c>
      <c r="J223" s="39">
        <f t="shared" si="165"/>
        <v>0</v>
      </c>
      <c r="K223" s="2"/>
      <c r="L223" s="187"/>
      <c r="M223" s="2"/>
    </row>
    <row r="224" spans="1:13" x14ac:dyDescent="0.3">
      <c r="A224" s="36" t="s">
        <v>493</v>
      </c>
      <c r="B224" s="37" t="str">
        <f>IFERROR(J224/(J$28+J$59+J$90),"-")</f>
        <v>-</v>
      </c>
      <c r="C224" s="324">
        <v>0</v>
      </c>
      <c r="D224" s="324">
        <v>0</v>
      </c>
      <c r="E224" s="324">
        <v>0</v>
      </c>
      <c r="F224" s="324">
        <v>0</v>
      </c>
      <c r="G224" s="324">
        <v>0</v>
      </c>
      <c r="H224" s="326">
        <v>0</v>
      </c>
      <c r="I224" s="39">
        <f t="shared" si="150"/>
        <v>0</v>
      </c>
      <c r="J224" s="39">
        <f t="shared" si="165"/>
        <v>0</v>
      </c>
      <c r="K224" s="2"/>
      <c r="L224" s="187"/>
      <c r="M224" s="2"/>
    </row>
    <row r="225" spans="1:13" x14ac:dyDescent="0.3">
      <c r="A225" s="59" t="s">
        <v>494</v>
      </c>
      <c r="B225" s="79">
        <f>IFERROR(J225/(J$29+J$60+J$91),"-")</f>
        <v>1.8899999999999997E-2</v>
      </c>
      <c r="C225" s="330">
        <v>0</v>
      </c>
      <c r="D225" s="330">
        <v>0</v>
      </c>
      <c r="E225" s="330">
        <v>0</v>
      </c>
      <c r="F225" s="330">
        <v>1529.9935141690526</v>
      </c>
      <c r="G225" s="330">
        <v>2610.9982774511136</v>
      </c>
      <c r="H225" s="331">
        <v>3120.7055744918803</v>
      </c>
      <c r="I225" s="229">
        <f t="shared" si="150"/>
        <v>1210.2828943520078</v>
      </c>
      <c r="J225" s="229">
        <f t="shared" si="165"/>
        <v>7261.6973661120464</v>
      </c>
      <c r="K225" s="2"/>
      <c r="L225" s="202"/>
      <c r="M225" s="2"/>
    </row>
    <row r="226" spans="1:13" x14ac:dyDescent="0.3">
      <c r="A226" s="116" t="s">
        <v>274</v>
      </c>
      <c r="B226" s="313">
        <f>IFERROR(J226/(J$30+J$61+J$92),"-")</f>
        <v>1.8900000000000004E-2</v>
      </c>
      <c r="C226" s="294">
        <f>SUM(C227:C230)</f>
        <v>13054.991387255566</v>
      </c>
      <c r="D226" s="297">
        <f t="shared" ref="D226:H226" si="167">SUM(D227:D230)</f>
        <v>13054.991387255566</v>
      </c>
      <c r="E226" s="297">
        <f t="shared" si="167"/>
        <v>13054.991387255566</v>
      </c>
      <c r="F226" s="297">
        <f t="shared" si="167"/>
        <v>11524.997873086515</v>
      </c>
      <c r="G226" s="297">
        <f t="shared" si="167"/>
        <v>10443.993109804453</v>
      </c>
      <c r="H226" s="296">
        <f t="shared" si="167"/>
        <v>9934.2858127636882</v>
      </c>
      <c r="I226" s="62">
        <f t="shared" ref="I226:I235" si="168">IFERROR(AVERAGE(C226:H226),0)</f>
        <v>11844.708492903561</v>
      </c>
      <c r="J226" s="62">
        <f>SUM(C226:H226)</f>
        <v>71068.250957421362</v>
      </c>
      <c r="K226" s="2"/>
      <c r="L226" s="187"/>
      <c r="M226" s="2"/>
    </row>
    <row r="227" spans="1:13" x14ac:dyDescent="0.3">
      <c r="A227" s="36" t="s">
        <v>491</v>
      </c>
      <c r="B227" s="37">
        <f>IFERROR(J227/(J$31+J$62+J$93),"-")</f>
        <v>1.8900000000000004E-2</v>
      </c>
      <c r="C227" s="324">
        <v>4351.6637957518551</v>
      </c>
      <c r="D227" s="325">
        <v>4351.6637957518551</v>
      </c>
      <c r="E227" s="325">
        <v>4351.6637957518551</v>
      </c>
      <c r="F227" s="325">
        <v>2826.4366165179085</v>
      </c>
      <c r="G227" s="325">
        <v>1740.6655183007424</v>
      </c>
      <c r="H227" s="326">
        <v>1232.5475798413311</v>
      </c>
      <c r="I227" s="10">
        <f t="shared" si="168"/>
        <v>3142.4401836525917</v>
      </c>
      <c r="J227" s="39">
        <f t="shared" ref="J227:J235" si="169">SUM(C227:H227)</f>
        <v>18854.641101915549</v>
      </c>
      <c r="K227" s="2"/>
      <c r="L227" s="186"/>
      <c r="M227" s="2"/>
    </row>
    <row r="228" spans="1:13" ht="13.15" customHeight="1" x14ac:dyDescent="0.3">
      <c r="A228" s="36" t="s">
        <v>492</v>
      </c>
      <c r="B228" s="37">
        <f>IFERROR(J228/(J$32+J$63+J$94),"-")</f>
        <v>1.89E-2</v>
      </c>
      <c r="C228" s="324">
        <v>8703.3275915037102</v>
      </c>
      <c r="D228" s="324">
        <v>8703.3275915037102</v>
      </c>
      <c r="E228" s="324">
        <v>8703.3275915037102</v>
      </c>
      <c r="F228" s="324">
        <v>8698.561256568606</v>
      </c>
      <c r="G228" s="324">
        <v>8703.3275915037102</v>
      </c>
      <c r="H228" s="326">
        <v>8701.7382329223565</v>
      </c>
      <c r="I228" s="39">
        <f t="shared" si="168"/>
        <v>8702.2683092509669</v>
      </c>
      <c r="J228" s="39">
        <f t="shared" si="169"/>
        <v>52213.609855505805</v>
      </c>
      <c r="K228" s="2"/>
      <c r="L228" s="187"/>
      <c r="M228" s="2"/>
    </row>
    <row r="229" spans="1:13" x14ac:dyDescent="0.3">
      <c r="A229" s="36" t="s">
        <v>493</v>
      </c>
      <c r="B229" s="37" t="str">
        <f>IFERROR(J229/(J$33+J$64+J$95),"-")</f>
        <v>-</v>
      </c>
      <c r="C229" s="324">
        <v>0</v>
      </c>
      <c r="D229" s="324">
        <v>0</v>
      </c>
      <c r="E229" s="324">
        <v>0</v>
      </c>
      <c r="F229" s="324">
        <v>0</v>
      </c>
      <c r="G229" s="324">
        <v>0</v>
      </c>
      <c r="H229" s="326">
        <v>0</v>
      </c>
      <c r="I229" s="39">
        <f t="shared" si="168"/>
        <v>0</v>
      </c>
      <c r="J229" s="39">
        <f t="shared" si="169"/>
        <v>0</v>
      </c>
      <c r="K229" s="2"/>
      <c r="L229" s="187"/>
      <c r="M229" s="2"/>
    </row>
    <row r="230" spans="1:13" x14ac:dyDescent="0.3">
      <c r="A230" s="36" t="s">
        <v>494</v>
      </c>
      <c r="B230" s="37" t="str">
        <f>IFERROR(J230/(J$34+J$65+J$96),"-")</f>
        <v>-</v>
      </c>
      <c r="C230" s="324">
        <v>0</v>
      </c>
      <c r="D230" s="324">
        <v>0</v>
      </c>
      <c r="E230" s="324">
        <v>0</v>
      </c>
      <c r="F230" s="324">
        <v>0</v>
      </c>
      <c r="G230" s="324">
        <v>0</v>
      </c>
      <c r="H230" s="326">
        <v>0</v>
      </c>
      <c r="I230" s="39">
        <f t="shared" si="168"/>
        <v>0</v>
      </c>
      <c r="J230" s="39">
        <f t="shared" si="169"/>
        <v>0</v>
      </c>
      <c r="K230" s="2"/>
      <c r="L230" s="187"/>
      <c r="M230" s="2"/>
    </row>
    <row r="231" spans="1:13" x14ac:dyDescent="0.3">
      <c r="A231" s="116" t="s">
        <v>462</v>
      </c>
      <c r="B231" s="313" t="str">
        <f>IFERROR(J231/(J$35+J$66+J$97),"-")</f>
        <v>-</v>
      </c>
      <c r="C231" s="294">
        <f>SUM(C232:C235)</f>
        <v>0</v>
      </c>
      <c r="D231" s="297">
        <f t="shared" ref="D231:H231" si="170">SUM(D232:D235)</f>
        <v>0</v>
      </c>
      <c r="E231" s="297">
        <f t="shared" si="170"/>
        <v>0</v>
      </c>
      <c r="F231" s="297">
        <f t="shared" si="170"/>
        <v>0</v>
      </c>
      <c r="G231" s="297">
        <f t="shared" si="170"/>
        <v>0</v>
      </c>
      <c r="H231" s="296">
        <f t="shared" si="170"/>
        <v>0</v>
      </c>
      <c r="I231" s="62">
        <f t="shared" si="168"/>
        <v>0</v>
      </c>
      <c r="J231" s="62">
        <f t="shared" si="169"/>
        <v>0</v>
      </c>
      <c r="K231" s="2"/>
      <c r="L231" s="195"/>
      <c r="M231" s="2"/>
    </row>
    <row r="232" spans="1:13" x14ac:dyDescent="0.3">
      <c r="A232" s="36" t="s">
        <v>491</v>
      </c>
      <c r="B232" s="37" t="str">
        <f>IFERROR(J232/(J$36+J$67+J$98),"-")</f>
        <v>-</v>
      </c>
      <c r="C232" s="324">
        <v>0</v>
      </c>
      <c r="D232" s="324">
        <v>0</v>
      </c>
      <c r="E232" s="324">
        <v>0</v>
      </c>
      <c r="F232" s="324">
        <v>0</v>
      </c>
      <c r="G232" s="324">
        <v>0</v>
      </c>
      <c r="H232" s="326">
        <v>0</v>
      </c>
      <c r="I232" s="39">
        <f t="shared" si="168"/>
        <v>0</v>
      </c>
      <c r="J232" s="39">
        <f t="shared" si="169"/>
        <v>0</v>
      </c>
      <c r="K232" s="2"/>
      <c r="L232" s="187"/>
      <c r="M232" s="2"/>
    </row>
    <row r="233" spans="1:13" x14ac:dyDescent="0.3">
      <c r="A233" s="36" t="s">
        <v>492</v>
      </c>
      <c r="B233" s="37" t="str">
        <f>IFERROR(J233/(J$37+J$68+J$99),"-")</f>
        <v>-</v>
      </c>
      <c r="C233" s="324">
        <v>0</v>
      </c>
      <c r="D233" s="324">
        <v>0</v>
      </c>
      <c r="E233" s="324">
        <v>0</v>
      </c>
      <c r="F233" s="324">
        <v>0</v>
      </c>
      <c r="G233" s="324">
        <v>0</v>
      </c>
      <c r="H233" s="326">
        <v>0</v>
      </c>
      <c r="I233" s="39">
        <f t="shared" si="168"/>
        <v>0</v>
      </c>
      <c r="J233" s="39">
        <f t="shared" si="169"/>
        <v>0</v>
      </c>
      <c r="K233" s="2"/>
      <c r="L233" s="187"/>
      <c r="M233" s="2"/>
    </row>
    <row r="234" spans="1:13" x14ac:dyDescent="0.3">
      <c r="A234" s="36" t="s">
        <v>493</v>
      </c>
      <c r="B234" s="37" t="str">
        <f>IFERROR(J234/(J$38+J$69+J$100),"-")</f>
        <v>-</v>
      </c>
      <c r="C234" s="324">
        <v>0</v>
      </c>
      <c r="D234" s="324">
        <v>0</v>
      </c>
      <c r="E234" s="324">
        <v>0</v>
      </c>
      <c r="F234" s="324">
        <v>0</v>
      </c>
      <c r="G234" s="324">
        <v>0</v>
      </c>
      <c r="H234" s="326">
        <v>0</v>
      </c>
      <c r="I234" s="39">
        <f t="shared" si="168"/>
        <v>0</v>
      </c>
      <c r="J234" s="39">
        <f t="shared" si="169"/>
        <v>0</v>
      </c>
      <c r="K234" s="2"/>
      <c r="L234" s="187"/>
      <c r="M234" s="2"/>
    </row>
    <row r="235" spans="1:13" x14ac:dyDescent="0.3">
      <c r="A235" s="59" t="s">
        <v>494</v>
      </c>
      <c r="B235" s="79" t="str">
        <f>IFERROR(J235/(J$39+J$70+J$101),"-")</f>
        <v>-</v>
      </c>
      <c r="C235" s="330">
        <v>0</v>
      </c>
      <c r="D235" s="330">
        <v>0</v>
      </c>
      <c r="E235" s="330">
        <v>0</v>
      </c>
      <c r="F235" s="330">
        <v>0</v>
      </c>
      <c r="G235" s="330">
        <v>0</v>
      </c>
      <c r="H235" s="331">
        <v>0</v>
      </c>
      <c r="I235" s="229">
        <f t="shared" si="168"/>
        <v>0</v>
      </c>
      <c r="J235" s="229">
        <f t="shared" si="169"/>
        <v>0</v>
      </c>
      <c r="K235" s="2"/>
      <c r="L235" s="202"/>
      <c r="M235" s="2"/>
    </row>
    <row r="236" spans="1:13" x14ac:dyDescent="0.3">
      <c r="A236" s="115" t="s">
        <v>186</v>
      </c>
      <c r="B236" s="53"/>
      <c r="C236" s="223">
        <f>C237+C242+C247+C252+C257+C262</f>
        <v>1482761.775411115</v>
      </c>
      <c r="D236" s="221">
        <f t="shared" ref="D236" si="171">D237+D242+D247+D252+D257+D262</f>
        <v>1595858.5686797597</v>
      </c>
      <c r="E236" s="221">
        <f t="shared" ref="E236" si="172">E237+E242+E247+E252+E257+E262</f>
        <v>1544700.8661448264</v>
      </c>
      <c r="F236" s="221">
        <f t="shared" ref="F236" si="173">F237+F242+F247+F252+F257+F262</f>
        <v>1800048.2110411227</v>
      </c>
      <c r="G236" s="221">
        <f t="shared" ref="G236" si="174">G237+G242+G247+G252+G257+G262</f>
        <v>1642566.2731599603</v>
      </c>
      <c r="H236" s="222">
        <f t="shared" ref="H236" si="175">H237+H242+H247+H252+H257+H262</f>
        <v>2124149.2316199667</v>
      </c>
      <c r="I236" s="301">
        <f t="shared" si="124"/>
        <v>1698347.487676125</v>
      </c>
      <c r="J236" s="301">
        <f>SUM(C236:H236)</f>
        <v>10190084.92605675</v>
      </c>
      <c r="K236" s="2"/>
      <c r="L236" s="494" t="s">
        <v>310</v>
      </c>
      <c r="M236" s="2"/>
    </row>
    <row r="237" spans="1:13" x14ac:dyDescent="0.3">
      <c r="A237" s="116" t="s">
        <v>273</v>
      </c>
      <c r="B237" s="313">
        <f>IFERROR(J237/(J$10+J$41+J$72),"-")</f>
        <v>0.16052955949110947</v>
      </c>
      <c r="C237" s="294">
        <f>SUM(C238:C241)</f>
        <v>631106.3516094056</v>
      </c>
      <c r="D237" s="297">
        <f t="shared" ref="D237" si="176">SUM(D238:D241)</f>
        <v>765433.34557128698</v>
      </c>
      <c r="E237" s="297">
        <f t="shared" ref="E237" si="177">SUM(E238:E241)</f>
        <v>590038.94172237942</v>
      </c>
      <c r="F237" s="297">
        <f t="shared" ref="F237" si="178">SUM(F238:F241)</f>
        <v>1242400.0623511791</v>
      </c>
      <c r="G237" s="297">
        <f t="shared" ref="G237" si="179">SUM(G238:G241)</f>
        <v>718124.85395909892</v>
      </c>
      <c r="H237" s="296">
        <f t="shared" ref="H237" si="180">SUM(H238:H241)</f>
        <v>1279241.7569513796</v>
      </c>
      <c r="I237" s="62">
        <f t="shared" si="124"/>
        <v>871057.55202745495</v>
      </c>
      <c r="J237" s="62">
        <f>SUM(C237:H237)</f>
        <v>5226345.3121647295</v>
      </c>
      <c r="K237" s="2"/>
      <c r="L237" s="187"/>
      <c r="M237" s="2"/>
    </row>
    <row r="238" spans="1:13" x14ac:dyDescent="0.3">
      <c r="A238" s="36" t="s">
        <v>491</v>
      </c>
      <c r="B238" s="37">
        <f>IFERROR(J238/(J$11+J$42+J$73),"-")</f>
        <v>0.13600194203885252</v>
      </c>
      <c r="C238" s="324">
        <v>355508.55370318249</v>
      </c>
      <c r="D238" s="325">
        <v>236846.73459825135</v>
      </c>
      <c r="E238" s="325">
        <v>166940.60645817246</v>
      </c>
      <c r="F238" s="325">
        <v>160546.63602423418</v>
      </c>
      <c r="G238" s="325">
        <v>125730.59923259697</v>
      </c>
      <c r="H238" s="326">
        <v>74953.678332255993</v>
      </c>
      <c r="I238" s="10">
        <f t="shared" si="124"/>
        <v>186754.46805811557</v>
      </c>
      <c r="J238" s="39">
        <f t="shared" ref="J238:J246" si="181">SUM(C238:H238)</f>
        <v>1120526.8083486934</v>
      </c>
      <c r="K238" s="2"/>
      <c r="L238" s="186"/>
      <c r="M238" s="2"/>
    </row>
    <row r="239" spans="1:13" ht="13.15" customHeight="1" x14ac:dyDescent="0.3">
      <c r="A239" s="36" t="s">
        <v>492</v>
      </c>
      <c r="B239" s="37">
        <f>IFERROR(J239/(J$12+J$43+J$74),"-")</f>
        <v>0.31779755004325549</v>
      </c>
      <c r="C239" s="324">
        <v>159998.78572173527</v>
      </c>
      <c r="D239" s="324">
        <v>448238.57839358971</v>
      </c>
      <c r="E239" s="324">
        <v>253223.96900814379</v>
      </c>
      <c r="F239" s="324">
        <v>902120.45744761219</v>
      </c>
      <c r="G239" s="324">
        <v>262737.79223611322</v>
      </c>
      <c r="H239" s="326">
        <v>680808.09020521748</v>
      </c>
      <c r="I239" s="39">
        <f t="shared" si="124"/>
        <v>451187.94550206861</v>
      </c>
      <c r="J239" s="39">
        <f t="shared" si="181"/>
        <v>2707127.6730124117</v>
      </c>
      <c r="K239" s="2"/>
      <c r="L239" s="187"/>
      <c r="M239" s="2"/>
    </row>
    <row r="240" spans="1:13" x14ac:dyDescent="0.3">
      <c r="A240" s="36" t="s">
        <v>493</v>
      </c>
      <c r="B240" s="37">
        <f>IFERROR(J240/(J$13+J$44+J$75),"-")</f>
        <v>0.18139774722255014</v>
      </c>
      <c r="C240" s="324">
        <v>97990.494896956792</v>
      </c>
      <c r="D240" s="324">
        <v>36265.711822511708</v>
      </c>
      <c r="E240" s="324">
        <v>92884.233269198521</v>
      </c>
      <c r="F240" s="324">
        <v>38499.374580421594</v>
      </c>
      <c r="G240" s="324">
        <v>71112.34649164333</v>
      </c>
      <c r="H240" s="326">
        <v>72855.747520018369</v>
      </c>
      <c r="I240" s="39">
        <f t="shared" si="124"/>
        <v>68267.984763458386</v>
      </c>
      <c r="J240" s="39">
        <f t="shared" si="181"/>
        <v>409607.90858075034</v>
      </c>
      <c r="K240" s="2"/>
      <c r="L240" s="187"/>
      <c r="M240" s="2"/>
    </row>
    <row r="241" spans="1:13" x14ac:dyDescent="0.3">
      <c r="A241" s="36" t="s">
        <v>494</v>
      </c>
      <c r="B241" s="37">
        <f>IFERROR(J241/(J$14+J$45+J$76),"-")</f>
        <v>7.3041490013600927E-2</v>
      </c>
      <c r="C241" s="324">
        <v>17608.517287531038</v>
      </c>
      <c r="D241" s="324">
        <v>44082.320756934234</v>
      </c>
      <c r="E241" s="324">
        <v>76990.132986864613</v>
      </c>
      <c r="F241" s="324">
        <v>141233.59429891131</v>
      </c>
      <c r="G241" s="324">
        <v>258544.11599874543</v>
      </c>
      <c r="H241" s="326">
        <v>450624.24089388782</v>
      </c>
      <c r="I241" s="39">
        <f t="shared" si="124"/>
        <v>164847.15370381242</v>
      </c>
      <c r="J241" s="39">
        <f t="shared" si="181"/>
        <v>989082.92222287448</v>
      </c>
      <c r="K241" s="2"/>
      <c r="L241" s="187"/>
      <c r="M241" s="2"/>
    </row>
    <row r="242" spans="1:13" x14ac:dyDescent="0.3">
      <c r="A242" s="116" t="s">
        <v>495</v>
      </c>
      <c r="B242" s="313">
        <f>IFERROR(J242/(J$15+J$46+J$77),"-")</f>
        <v>0.25828075062505512</v>
      </c>
      <c r="C242" s="294">
        <f>SUM(C243:C246)</f>
        <v>689612.7958139223</v>
      </c>
      <c r="D242" s="297">
        <f t="shared" ref="D242" si="182">SUM(D243:D246)</f>
        <v>763237.78415708384</v>
      </c>
      <c r="E242" s="297">
        <f t="shared" ref="E242" si="183">SUM(E243:E246)</f>
        <v>542312.1253793753</v>
      </c>
      <c r="F242" s="297">
        <f t="shared" ref="F242" si="184">SUM(F243:F246)</f>
        <v>485329.09137657209</v>
      </c>
      <c r="G242" s="297">
        <f t="shared" ref="G242" si="185">SUM(G243:G246)</f>
        <v>626343.2920794345</v>
      </c>
      <c r="H242" s="296">
        <f t="shared" ref="H242" si="186">SUM(H243:H246)</f>
        <v>801522.32295874658</v>
      </c>
      <c r="I242" s="62">
        <f t="shared" si="124"/>
        <v>651392.9019608557</v>
      </c>
      <c r="J242" s="62">
        <f t="shared" si="181"/>
        <v>3908357.4117651344</v>
      </c>
      <c r="K242" s="2"/>
      <c r="L242" s="195"/>
      <c r="M242" s="2"/>
    </row>
    <row r="243" spans="1:13" x14ac:dyDescent="0.3">
      <c r="A243" s="36" t="s">
        <v>491</v>
      </c>
      <c r="B243" s="37" t="str">
        <f>IFERROR(J243/(J$16+J$47+J$78),"-")</f>
        <v>-</v>
      </c>
      <c r="C243" s="324">
        <v>0</v>
      </c>
      <c r="D243" s="324">
        <v>0</v>
      </c>
      <c r="E243" s="324">
        <v>0</v>
      </c>
      <c r="F243" s="324">
        <v>0</v>
      </c>
      <c r="G243" s="324">
        <v>0</v>
      </c>
      <c r="H243" s="326">
        <v>0</v>
      </c>
      <c r="I243" s="39">
        <f t="shared" si="124"/>
        <v>0</v>
      </c>
      <c r="J243" s="39">
        <f t="shared" si="181"/>
        <v>0</v>
      </c>
      <c r="K243" s="2"/>
      <c r="L243" s="187"/>
      <c r="M243" s="2"/>
    </row>
    <row r="244" spans="1:13" x14ac:dyDescent="0.3">
      <c r="A244" s="36" t="s">
        <v>492</v>
      </c>
      <c r="B244" s="37">
        <f>IFERROR(J244/(J$17+J$48+J$79),"-")</f>
        <v>0.25828075062505512</v>
      </c>
      <c r="C244" s="324">
        <v>689612.7958139223</v>
      </c>
      <c r="D244" s="324">
        <v>763237.78415708384</v>
      </c>
      <c r="E244" s="324">
        <v>542312.1253793753</v>
      </c>
      <c r="F244" s="324">
        <v>485329.09137657209</v>
      </c>
      <c r="G244" s="324">
        <v>626343.2920794345</v>
      </c>
      <c r="H244" s="326">
        <v>801522.32295874658</v>
      </c>
      <c r="I244" s="39">
        <f t="shared" ref="I244" si="187">IFERROR(AVERAGE(C244:H244),0)</f>
        <v>651392.9019608557</v>
      </c>
      <c r="J244" s="39">
        <f t="shared" ref="J244" si="188">SUM(C244:H244)</f>
        <v>3908357.4117651344</v>
      </c>
      <c r="K244" s="2"/>
      <c r="L244" s="187"/>
      <c r="M244" s="2"/>
    </row>
    <row r="245" spans="1:13" x14ac:dyDescent="0.3">
      <c r="A245" s="36" t="s">
        <v>493</v>
      </c>
      <c r="B245" s="37" t="str">
        <f>IFERROR(J245/(J$18+J$49+J$80),"-")</f>
        <v>-</v>
      </c>
      <c r="C245" s="324">
        <v>0</v>
      </c>
      <c r="D245" s="324">
        <v>0</v>
      </c>
      <c r="E245" s="324">
        <v>0</v>
      </c>
      <c r="F245" s="324">
        <v>0</v>
      </c>
      <c r="G245" s="324">
        <v>0</v>
      </c>
      <c r="H245" s="326">
        <v>0</v>
      </c>
      <c r="I245" s="39">
        <f t="shared" si="124"/>
        <v>0</v>
      </c>
      <c r="J245" s="39">
        <f t="shared" si="181"/>
        <v>0</v>
      </c>
      <c r="K245" s="2"/>
      <c r="L245" s="187"/>
      <c r="M245" s="2"/>
    </row>
    <row r="246" spans="1:13" x14ac:dyDescent="0.3">
      <c r="A246" s="59" t="s">
        <v>494</v>
      </c>
      <c r="B246" s="79" t="str">
        <f>IFERROR(J246/(J$19+J$50+J$81),"-")</f>
        <v>-</v>
      </c>
      <c r="C246" s="330">
        <v>0</v>
      </c>
      <c r="D246" s="330">
        <v>0</v>
      </c>
      <c r="E246" s="330">
        <v>0</v>
      </c>
      <c r="F246" s="330">
        <v>0</v>
      </c>
      <c r="G246" s="330">
        <v>0</v>
      </c>
      <c r="H246" s="331">
        <v>0</v>
      </c>
      <c r="I246" s="229">
        <f t="shared" si="124"/>
        <v>0</v>
      </c>
      <c r="J246" s="229">
        <f t="shared" si="181"/>
        <v>0</v>
      </c>
      <c r="K246" s="2"/>
      <c r="L246" s="202"/>
      <c r="M246" s="2"/>
    </row>
    <row r="247" spans="1:13" x14ac:dyDescent="0.3">
      <c r="A247" s="116" t="s">
        <v>496</v>
      </c>
      <c r="B247" s="313" t="str">
        <f>IFERROR(J247/(J$20+J$51+J$82),"-")</f>
        <v>-</v>
      </c>
      <c r="C247" s="294">
        <f>SUM(C248:C251)</f>
        <v>0</v>
      </c>
      <c r="D247" s="297">
        <f t="shared" ref="D247:H247" si="189">SUM(D248:D251)</f>
        <v>0</v>
      </c>
      <c r="E247" s="297">
        <f t="shared" si="189"/>
        <v>0</v>
      </c>
      <c r="F247" s="297">
        <f t="shared" si="189"/>
        <v>0</v>
      </c>
      <c r="G247" s="297">
        <f t="shared" si="189"/>
        <v>0</v>
      </c>
      <c r="H247" s="296">
        <f t="shared" si="189"/>
        <v>0</v>
      </c>
      <c r="I247" s="62">
        <f t="shared" si="124"/>
        <v>0</v>
      </c>
      <c r="J247" s="62">
        <f>SUM(C247:H247)</f>
        <v>0</v>
      </c>
      <c r="K247" s="2"/>
      <c r="L247" s="187"/>
      <c r="M247" s="2"/>
    </row>
    <row r="248" spans="1:13" x14ac:dyDescent="0.3">
      <c r="A248" s="36" t="s">
        <v>491</v>
      </c>
      <c r="B248" s="37" t="str">
        <f>IFERROR(J248/(J$21+J$52+J$83),"-")</f>
        <v>-</v>
      </c>
      <c r="C248" s="324">
        <v>0</v>
      </c>
      <c r="D248" s="325">
        <v>0</v>
      </c>
      <c r="E248" s="325">
        <v>0</v>
      </c>
      <c r="F248" s="325">
        <v>0</v>
      </c>
      <c r="G248" s="325">
        <v>0</v>
      </c>
      <c r="H248" s="326">
        <v>0</v>
      </c>
      <c r="I248" s="10">
        <f t="shared" si="124"/>
        <v>0</v>
      </c>
      <c r="J248" s="39">
        <f t="shared" ref="J248:J256" si="190">SUM(C248:H248)</f>
        <v>0</v>
      </c>
      <c r="K248" s="2"/>
      <c r="L248" s="186"/>
      <c r="M248" s="2"/>
    </row>
    <row r="249" spans="1:13" ht="13.15" customHeight="1" x14ac:dyDescent="0.3">
      <c r="A249" s="36" t="s">
        <v>492</v>
      </c>
      <c r="B249" s="37" t="str">
        <f>IFERROR(J249/(J$22+J$53+J$84),"-")</f>
        <v>-</v>
      </c>
      <c r="C249" s="324">
        <v>0</v>
      </c>
      <c r="D249" s="324">
        <v>0</v>
      </c>
      <c r="E249" s="324">
        <v>0</v>
      </c>
      <c r="F249" s="324">
        <v>0</v>
      </c>
      <c r="G249" s="324">
        <v>0</v>
      </c>
      <c r="H249" s="326">
        <v>0</v>
      </c>
      <c r="I249" s="39">
        <f t="shared" si="124"/>
        <v>0</v>
      </c>
      <c r="J249" s="39">
        <f t="shared" si="190"/>
        <v>0</v>
      </c>
      <c r="K249" s="2"/>
      <c r="L249" s="187"/>
      <c r="M249" s="2"/>
    </row>
    <row r="250" spans="1:13" x14ac:dyDescent="0.3">
      <c r="A250" s="36" t="s">
        <v>493</v>
      </c>
      <c r="B250" s="37" t="str">
        <f>IFERROR(J250/(J$23+J$54+J$85),"-")</f>
        <v>-</v>
      </c>
      <c r="C250" s="324">
        <v>0</v>
      </c>
      <c r="D250" s="324">
        <v>0</v>
      </c>
      <c r="E250" s="324">
        <v>0</v>
      </c>
      <c r="F250" s="324">
        <v>0</v>
      </c>
      <c r="G250" s="324">
        <v>0</v>
      </c>
      <c r="H250" s="326">
        <v>0</v>
      </c>
      <c r="I250" s="39">
        <f t="shared" si="124"/>
        <v>0</v>
      </c>
      <c r="J250" s="39">
        <f t="shared" si="190"/>
        <v>0</v>
      </c>
      <c r="K250" s="2"/>
      <c r="L250" s="187"/>
      <c r="M250" s="2"/>
    </row>
    <row r="251" spans="1:13" x14ac:dyDescent="0.3">
      <c r="A251" s="36" t="s">
        <v>494</v>
      </c>
      <c r="B251" s="37" t="str">
        <f>IFERROR(J251/(J$24+J$55+J$86),"-")</f>
        <v>-</v>
      </c>
      <c r="C251" s="324">
        <v>0</v>
      </c>
      <c r="D251" s="324">
        <v>0</v>
      </c>
      <c r="E251" s="324">
        <v>0</v>
      </c>
      <c r="F251" s="324">
        <v>0</v>
      </c>
      <c r="G251" s="324">
        <v>0</v>
      </c>
      <c r="H251" s="326">
        <v>0</v>
      </c>
      <c r="I251" s="39">
        <f t="shared" si="124"/>
        <v>0</v>
      </c>
      <c r="J251" s="39">
        <f t="shared" si="190"/>
        <v>0</v>
      </c>
      <c r="K251" s="2"/>
      <c r="L251" s="187"/>
      <c r="M251" s="2"/>
    </row>
    <row r="252" spans="1:13" x14ac:dyDescent="0.3">
      <c r="A252" s="116" t="s">
        <v>272</v>
      </c>
      <c r="B252" s="313">
        <f>IFERROR(J252/(J$25+J$56+J$87),"-")</f>
        <v>2.3609144153066572E-2</v>
      </c>
      <c r="C252" s="294">
        <f>SUM(C253:C256)</f>
        <v>7504.5508434410203</v>
      </c>
      <c r="D252" s="297">
        <f t="shared" ref="D252:H252" si="191">SUM(D253:D256)</f>
        <v>6737.307811229809</v>
      </c>
      <c r="E252" s="297">
        <f t="shared" si="191"/>
        <v>7350.9991908457687</v>
      </c>
      <c r="F252" s="297">
        <f t="shared" si="191"/>
        <v>8316.6656704025954</v>
      </c>
      <c r="G252" s="297">
        <f t="shared" si="191"/>
        <v>11681.07166038379</v>
      </c>
      <c r="H252" s="296">
        <f t="shared" si="191"/>
        <v>14722.607842659181</v>
      </c>
      <c r="I252" s="62">
        <f t="shared" si="124"/>
        <v>9385.5338364936961</v>
      </c>
      <c r="J252" s="62">
        <f t="shared" si="190"/>
        <v>56313.203018962173</v>
      </c>
      <c r="K252" s="2"/>
      <c r="L252" s="195"/>
      <c r="M252" s="2"/>
    </row>
    <row r="253" spans="1:13" x14ac:dyDescent="0.3">
      <c r="A253" s="36" t="s">
        <v>491</v>
      </c>
      <c r="B253" s="37">
        <f>IFERROR(J253/(J$26+J$57+J$88),"-")</f>
        <v>2.2020698747273783E-2</v>
      </c>
      <c r="C253" s="324">
        <v>7504.5508434410203</v>
      </c>
      <c r="D253" s="324">
        <v>6737.307811229809</v>
      </c>
      <c r="E253" s="324">
        <v>7350.9991908457687</v>
      </c>
      <c r="F253" s="324">
        <v>6805.4443785905141</v>
      </c>
      <c r="G253" s="324">
        <v>7523.65862305882</v>
      </c>
      <c r="H253" s="326">
        <v>8141.7147240558779</v>
      </c>
      <c r="I253" s="39">
        <f t="shared" si="124"/>
        <v>7343.9459285369676</v>
      </c>
      <c r="J253" s="39">
        <f t="shared" si="190"/>
        <v>44063.675571221807</v>
      </c>
      <c r="K253" s="2"/>
      <c r="L253" s="187"/>
      <c r="M253" s="2"/>
    </row>
    <row r="254" spans="1:13" x14ac:dyDescent="0.3">
      <c r="A254" s="36" t="s">
        <v>492</v>
      </c>
      <c r="B254" s="37" t="str">
        <f>IFERROR(J254/(J$27+J$58+J$89),"-")</f>
        <v>-</v>
      </c>
      <c r="C254" s="324">
        <v>0</v>
      </c>
      <c r="D254" s="324">
        <v>0</v>
      </c>
      <c r="E254" s="324">
        <v>0</v>
      </c>
      <c r="F254" s="324">
        <v>0</v>
      </c>
      <c r="G254" s="324">
        <v>0</v>
      </c>
      <c r="H254" s="326">
        <v>0</v>
      </c>
      <c r="I254" s="39">
        <f t="shared" si="124"/>
        <v>0</v>
      </c>
      <c r="J254" s="39">
        <f t="shared" si="190"/>
        <v>0</v>
      </c>
      <c r="K254" s="2"/>
      <c r="L254" s="187"/>
      <c r="M254" s="2"/>
    </row>
    <row r="255" spans="1:13" x14ac:dyDescent="0.3">
      <c r="A255" s="36" t="s">
        <v>493</v>
      </c>
      <c r="B255" s="37" t="str">
        <f>IFERROR(J255/(J$28+J$59+J$90),"-")</f>
        <v>-</v>
      </c>
      <c r="C255" s="324">
        <v>0</v>
      </c>
      <c r="D255" s="324">
        <v>0</v>
      </c>
      <c r="E255" s="324">
        <v>0</v>
      </c>
      <c r="F255" s="324">
        <v>0</v>
      </c>
      <c r="G255" s="324">
        <v>0</v>
      </c>
      <c r="H255" s="326">
        <v>0</v>
      </c>
      <c r="I255" s="39">
        <f t="shared" si="124"/>
        <v>0</v>
      </c>
      <c r="J255" s="39">
        <f t="shared" si="190"/>
        <v>0</v>
      </c>
      <c r="K255" s="2"/>
      <c r="L255" s="187"/>
      <c r="M255" s="2"/>
    </row>
    <row r="256" spans="1:13" x14ac:dyDescent="0.3">
      <c r="A256" s="59" t="s">
        <v>494</v>
      </c>
      <c r="B256" s="79">
        <f>IFERROR(J256/(J$29+J$60+J$91),"-")</f>
        <v>3.1881811798258351E-2</v>
      </c>
      <c r="C256" s="330">
        <v>0</v>
      </c>
      <c r="D256" s="330">
        <v>0</v>
      </c>
      <c r="E256" s="330">
        <v>0</v>
      </c>
      <c r="F256" s="330">
        <v>1511.2212918120822</v>
      </c>
      <c r="G256" s="330">
        <v>4157.4130373249709</v>
      </c>
      <c r="H256" s="331">
        <v>6580.8931186033024</v>
      </c>
      <c r="I256" s="229">
        <f t="shared" si="124"/>
        <v>2041.5879079567258</v>
      </c>
      <c r="J256" s="229">
        <f t="shared" si="190"/>
        <v>12249.527447740355</v>
      </c>
      <c r="K256" s="2"/>
      <c r="L256" s="202"/>
      <c r="M256" s="2"/>
    </row>
    <row r="257" spans="1:13" x14ac:dyDescent="0.3">
      <c r="A257" s="116" t="s">
        <v>274</v>
      </c>
      <c r="B257" s="313">
        <f>IFERROR(J257/(J$30+J$61+J$92),"-")</f>
        <v>0.26569394671683511</v>
      </c>
      <c r="C257" s="294">
        <f>SUM(C258:C261)</f>
        <v>154538.07714434632</v>
      </c>
      <c r="D257" s="297">
        <f t="shared" ref="D257:H257" si="192">SUM(D258:D261)</f>
        <v>60450.131140159167</v>
      </c>
      <c r="E257" s="297">
        <f t="shared" si="192"/>
        <v>404998.79985222593</v>
      </c>
      <c r="F257" s="297">
        <f t="shared" si="192"/>
        <v>64002.391642968847</v>
      </c>
      <c r="G257" s="297">
        <f t="shared" si="192"/>
        <v>286417.05546104303</v>
      </c>
      <c r="H257" s="296">
        <f t="shared" si="192"/>
        <v>28662.543867181303</v>
      </c>
      <c r="I257" s="62">
        <f t="shared" ref="I257:I266" si="193">IFERROR(AVERAGE(C257:H257),0)</f>
        <v>166511.49985132075</v>
      </c>
      <c r="J257" s="62">
        <f>SUM(C257:H257)</f>
        <v>999068.99910792452</v>
      </c>
      <c r="K257" s="2"/>
      <c r="L257" s="187"/>
      <c r="M257" s="2"/>
    </row>
    <row r="258" spans="1:13" x14ac:dyDescent="0.3">
      <c r="A258" s="36" t="s">
        <v>491</v>
      </c>
      <c r="B258" s="37">
        <f>IFERROR(J258/(J$31+J$62+J$93),"-")</f>
        <v>0.13719283523550937</v>
      </c>
      <c r="C258" s="324">
        <v>18979.481170785188</v>
      </c>
      <c r="D258" s="325">
        <v>37626.752020190841</v>
      </c>
      <c r="E258" s="325">
        <v>33744.239850846498</v>
      </c>
      <c r="F258" s="325">
        <v>21841.36628769026</v>
      </c>
      <c r="G258" s="325">
        <v>15238.727823818605</v>
      </c>
      <c r="H258" s="326">
        <v>9433.0132762856792</v>
      </c>
      <c r="I258" s="10">
        <f t="shared" si="193"/>
        <v>22810.596738269509</v>
      </c>
      <c r="J258" s="39">
        <f t="shared" ref="J258:J266" si="194">SUM(C258:H258)</f>
        <v>136863.58042961705</v>
      </c>
      <c r="K258" s="2"/>
      <c r="L258" s="186"/>
      <c r="M258" s="2"/>
    </row>
    <row r="259" spans="1:13" ht="13.15" customHeight="1" x14ac:dyDescent="0.3">
      <c r="A259" s="36" t="s">
        <v>492</v>
      </c>
      <c r="B259" s="37">
        <f>IFERROR(J259/(J$32+J$63+J$94),"-")</f>
        <v>0.31209645259379953</v>
      </c>
      <c r="C259" s="324">
        <v>135558.59597356114</v>
      </c>
      <c r="D259" s="324">
        <v>22823.379119968326</v>
      </c>
      <c r="E259" s="324">
        <v>371254.5600013794</v>
      </c>
      <c r="F259" s="324">
        <v>42161.025355278587</v>
      </c>
      <c r="G259" s="324">
        <v>271178.3276372244</v>
      </c>
      <c r="H259" s="326">
        <v>19229.530590895625</v>
      </c>
      <c r="I259" s="39">
        <f t="shared" si="193"/>
        <v>143700.90311305126</v>
      </c>
      <c r="J259" s="39">
        <f t="shared" si="194"/>
        <v>862205.41867830756</v>
      </c>
      <c r="K259" s="2"/>
      <c r="L259" s="187"/>
      <c r="M259" s="2"/>
    </row>
    <row r="260" spans="1:13" x14ac:dyDescent="0.3">
      <c r="A260" s="36" t="s">
        <v>493</v>
      </c>
      <c r="B260" s="37" t="str">
        <f>IFERROR(J260/(J$33+J$64+J$95),"-")</f>
        <v>-</v>
      </c>
      <c r="C260" s="324">
        <v>0</v>
      </c>
      <c r="D260" s="324">
        <v>0</v>
      </c>
      <c r="E260" s="324">
        <v>0</v>
      </c>
      <c r="F260" s="324">
        <v>0</v>
      </c>
      <c r="G260" s="324">
        <v>0</v>
      </c>
      <c r="H260" s="326">
        <v>0</v>
      </c>
      <c r="I260" s="39">
        <f t="shared" si="193"/>
        <v>0</v>
      </c>
      <c r="J260" s="39">
        <f t="shared" si="194"/>
        <v>0</v>
      </c>
      <c r="K260" s="2"/>
      <c r="L260" s="187"/>
      <c r="M260" s="2"/>
    </row>
    <row r="261" spans="1:13" x14ac:dyDescent="0.3">
      <c r="A261" s="36" t="s">
        <v>494</v>
      </c>
      <c r="B261" s="37" t="str">
        <f>IFERROR(J261/(J$34+J$65+J$96),"-")</f>
        <v>-</v>
      </c>
      <c r="C261" s="324">
        <v>0</v>
      </c>
      <c r="D261" s="324">
        <v>0</v>
      </c>
      <c r="E261" s="324">
        <v>0</v>
      </c>
      <c r="F261" s="324">
        <v>0</v>
      </c>
      <c r="G261" s="324">
        <v>0</v>
      </c>
      <c r="H261" s="326">
        <v>0</v>
      </c>
      <c r="I261" s="39">
        <f t="shared" si="193"/>
        <v>0</v>
      </c>
      <c r="J261" s="39">
        <f t="shared" si="194"/>
        <v>0</v>
      </c>
      <c r="K261" s="2"/>
      <c r="L261" s="187"/>
      <c r="M261" s="2"/>
    </row>
    <row r="262" spans="1:13" x14ac:dyDescent="0.3">
      <c r="A262" s="116" t="s">
        <v>462</v>
      </c>
      <c r="B262" s="313" t="str">
        <f>IFERROR(J262/(J$35+J$66+J$97),"-")</f>
        <v>-</v>
      </c>
      <c r="C262" s="294">
        <f>SUM(C263:C266)</f>
        <v>0</v>
      </c>
      <c r="D262" s="297">
        <f t="shared" ref="D262:H262" si="195">SUM(D263:D266)</f>
        <v>0</v>
      </c>
      <c r="E262" s="297">
        <f t="shared" si="195"/>
        <v>0</v>
      </c>
      <c r="F262" s="297">
        <f t="shared" si="195"/>
        <v>0</v>
      </c>
      <c r="G262" s="297">
        <f t="shared" si="195"/>
        <v>0</v>
      </c>
      <c r="H262" s="296">
        <f t="shared" si="195"/>
        <v>0</v>
      </c>
      <c r="I262" s="62">
        <f t="shared" si="193"/>
        <v>0</v>
      </c>
      <c r="J262" s="62">
        <f t="shared" si="194"/>
        <v>0</v>
      </c>
      <c r="K262" s="2"/>
      <c r="L262" s="195"/>
      <c r="M262" s="2"/>
    </row>
    <row r="263" spans="1:13" x14ac:dyDescent="0.3">
      <c r="A263" s="36" t="s">
        <v>491</v>
      </c>
      <c r="B263" s="37" t="str">
        <f>IFERROR(J263/(J$36+J$67+J$98),"-")</f>
        <v>-</v>
      </c>
      <c r="C263" s="324">
        <v>0</v>
      </c>
      <c r="D263" s="324">
        <v>0</v>
      </c>
      <c r="E263" s="324">
        <v>0</v>
      </c>
      <c r="F263" s="324">
        <v>0</v>
      </c>
      <c r="G263" s="324">
        <v>0</v>
      </c>
      <c r="H263" s="326">
        <v>0</v>
      </c>
      <c r="I263" s="39">
        <f t="shared" si="193"/>
        <v>0</v>
      </c>
      <c r="J263" s="39">
        <f t="shared" si="194"/>
        <v>0</v>
      </c>
      <c r="K263" s="2"/>
      <c r="L263" s="187"/>
      <c r="M263" s="2"/>
    </row>
    <row r="264" spans="1:13" x14ac:dyDescent="0.3">
      <c r="A264" s="36" t="s">
        <v>492</v>
      </c>
      <c r="B264" s="37" t="str">
        <f>IFERROR(J264/(J$37+J$68+J$99),"-")</f>
        <v>-</v>
      </c>
      <c r="C264" s="324">
        <v>0</v>
      </c>
      <c r="D264" s="324">
        <v>0</v>
      </c>
      <c r="E264" s="324">
        <v>0</v>
      </c>
      <c r="F264" s="324">
        <v>0</v>
      </c>
      <c r="G264" s="324">
        <v>0</v>
      </c>
      <c r="H264" s="326">
        <v>0</v>
      </c>
      <c r="I264" s="39">
        <f t="shared" si="193"/>
        <v>0</v>
      </c>
      <c r="J264" s="39">
        <f t="shared" si="194"/>
        <v>0</v>
      </c>
      <c r="K264" s="2"/>
      <c r="L264" s="187"/>
      <c r="M264" s="2"/>
    </row>
    <row r="265" spans="1:13" x14ac:dyDescent="0.3">
      <c r="A265" s="36" t="s">
        <v>493</v>
      </c>
      <c r="B265" s="37" t="str">
        <f>IFERROR(J265/(J$38+J$69+J$100),"-")</f>
        <v>-</v>
      </c>
      <c r="C265" s="324">
        <v>0</v>
      </c>
      <c r="D265" s="324">
        <v>0</v>
      </c>
      <c r="E265" s="324">
        <v>0</v>
      </c>
      <c r="F265" s="324">
        <v>0</v>
      </c>
      <c r="G265" s="324">
        <v>0</v>
      </c>
      <c r="H265" s="326">
        <v>0</v>
      </c>
      <c r="I265" s="39">
        <f t="shared" si="193"/>
        <v>0</v>
      </c>
      <c r="J265" s="39">
        <f t="shared" si="194"/>
        <v>0</v>
      </c>
      <c r="K265" s="2"/>
      <c r="L265" s="187"/>
      <c r="M265" s="2"/>
    </row>
    <row r="266" spans="1:13" x14ac:dyDescent="0.3">
      <c r="A266" s="59" t="s">
        <v>494</v>
      </c>
      <c r="B266" s="79" t="str">
        <f>IFERROR(J266/(J$39+J$70+J$101),"-")</f>
        <v>-</v>
      </c>
      <c r="C266" s="330">
        <v>0</v>
      </c>
      <c r="D266" s="330">
        <v>0</v>
      </c>
      <c r="E266" s="330">
        <v>0</v>
      </c>
      <c r="F266" s="330">
        <v>0</v>
      </c>
      <c r="G266" s="330">
        <v>0</v>
      </c>
      <c r="H266" s="331">
        <v>0</v>
      </c>
      <c r="I266" s="229">
        <f t="shared" si="193"/>
        <v>0</v>
      </c>
      <c r="J266" s="229">
        <f t="shared" si="194"/>
        <v>0</v>
      </c>
      <c r="K266" s="2"/>
      <c r="L266" s="202"/>
      <c r="M266" s="2"/>
    </row>
    <row r="267" spans="1:13" x14ac:dyDescent="0.3">
      <c r="A267" s="115" t="s">
        <v>187</v>
      </c>
      <c r="B267" s="53"/>
      <c r="C267" s="223">
        <f>C268+C273+C278+C283+C288+C293</f>
        <v>2111813.0716044833</v>
      </c>
      <c r="D267" s="221">
        <f t="shared" ref="D267" si="196">D268+D273+D278+D283+D288+D293</f>
        <v>2124877.4882171918</v>
      </c>
      <c r="E267" s="221">
        <f t="shared" ref="E267" si="197">E268+E273+E278+E283+E288+E293</f>
        <v>2160775.5878491309</v>
      </c>
      <c r="F267" s="221">
        <f t="shared" ref="F267" si="198">F268+F273+F278+F283+F288+F293</f>
        <v>2153298.0687927031</v>
      </c>
      <c r="G267" s="221">
        <f t="shared" ref="G267" si="199">G268+G273+G278+G283+G288+G293</f>
        <v>2127566.1027210159</v>
      </c>
      <c r="H267" s="222">
        <f t="shared" ref="H267" si="200">H268+H273+H278+H283+H288+H293</f>
        <v>2128240.4834963833</v>
      </c>
      <c r="I267" s="301">
        <f t="shared" si="124"/>
        <v>2134428.4671134842</v>
      </c>
      <c r="J267" s="301">
        <f>SUM(C267:H267)</f>
        <v>12806570.802680906</v>
      </c>
      <c r="K267" s="2"/>
      <c r="L267" s="494" t="s">
        <v>446</v>
      </c>
      <c r="M267" s="2"/>
    </row>
    <row r="268" spans="1:13" x14ac:dyDescent="0.3">
      <c r="A268" s="116" t="s">
        <v>273</v>
      </c>
      <c r="B268" s="313">
        <f>IFERROR(J268/(J$10+J$41+J$72),"-")</f>
        <v>0.19586973415943096</v>
      </c>
      <c r="C268" s="294">
        <f>SUM(C269:C272)</f>
        <v>878228.2645788528</v>
      </c>
      <c r="D268" s="297">
        <f t="shared" ref="D268:H268" si="201">SUM(D269:D272)</f>
        <v>1006327.9580524501</v>
      </c>
      <c r="E268" s="297">
        <f t="shared" si="201"/>
        <v>801005.32862060342</v>
      </c>
      <c r="F268" s="297">
        <f t="shared" si="201"/>
        <v>1495284.4629117311</v>
      </c>
      <c r="G268" s="297">
        <f t="shared" si="201"/>
        <v>913733.26649574656</v>
      </c>
      <c r="H268" s="296">
        <f t="shared" si="201"/>
        <v>1282332.6735267728</v>
      </c>
      <c r="I268" s="62">
        <f t="shared" si="124"/>
        <v>1062818.6590310261</v>
      </c>
      <c r="J268" s="62">
        <f>SUM(C268:H268)</f>
        <v>6376911.9541861564</v>
      </c>
      <c r="K268" s="2"/>
      <c r="L268" s="187"/>
      <c r="M268" s="2"/>
    </row>
    <row r="269" spans="1:13" x14ac:dyDescent="0.3">
      <c r="A269" s="36" t="s">
        <v>491</v>
      </c>
      <c r="B269" s="37">
        <f>IFERROR(J269/(J$11+J$42+J$73),"-")</f>
        <v>0.17678348880782344</v>
      </c>
      <c r="C269" s="324">
        <v>497606.14649339626</v>
      </c>
      <c r="D269" s="325">
        <v>307474.86628276855</v>
      </c>
      <c r="E269" s="325">
        <v>226814.99555937303</v>
      </c>
      <c r="F269" s="325">
        <v>188590.50994311512</v>
      </c>
      <c r="G269" s="325">
        <v>161831.73297807196</v>
      </c>
      <c r="H269" s="326">
        <v>74209.76233581308</v>
      </c>
      <c r="I269" s="10">
        <f t="shared" si="124"/>
        <v>242754.6689320897</v>
      </c>
      <c r="J269" s="39">
        <f t="shared" ref="J269:J277" si="202">SUM(C269:H269)</f>
        <v>1456528.0135925382</v>
      </c>
      <c r="K269" s="2"/>
      <c r="L269" s="186"/>
      <c r="M269" s="2"/>
    </row>
    <row r="270" spans="1:13" ht="13.15" customHeight="1" x14ac:dyDescent="0.3">
      <c r="A270" s="36" t="s">
        <v>492</v>
      </c>
      <c r="B270" s="37">
        <f>IFERROR(J270/(J$12+J$43+J$74),"-")</f>
        <v>0.39187323824009557</v>
      </c>
      <c r="C270" s="324">
        <v>223074.43722899508</v>
      </c>
      <c r="D270" s="324">
        <v>611054.9699537186</v>
      </c>
      <c r="E270" s="324">
        <v>355735.63210209477</v>
      </c>
      <c r="F270" s="324">
        <v>1112494.8618321139</v>
      </c>
      <c r="G270" s="324">
        <v>340655.70517030556</v>
      </c>
      <c r="H270" s="326">
        <v>695118.64744869852</v>
      </c>
      <c r="I270" s="39">
        <f t="shared" si="124"/>
        <v>556355.70895598771</v>
      </c>
      <c r="J270" s="39">
        <f t="shared" si="202"/>
        <v>3338134.2537359265</v>
      </c>
      <c r="K270" s="2"/>
      <c r="L270" s="187"/>
      <c r="M270" s="2"/>
    </row>
    <row r="271" spans="1:13" x14ac:dyDescent="0.3">
      <c r="A271" s="36" t="s">
        <v>493</v>
      </c>
      <c r="B271" s="37">
        <f>IFERROR(J271/(J$13+J$44+J$75),"-")</f>
        <v>0.23482438995417987</v>
      </c>
      <c r="C271" s="324">
        <v>142641.22379886094</v>
      </c>
      <c r="D271" s="324">
        <v>46387.219161644913</v>
      </c>
      <c r="E271" s="324">
        <v>132174.71567949196</v>
      </c>
      <c r="F271" s="324">
        <v>44207.992203773596</v>
      </c>
      <c r="G271" s="324">
        <v>92368.987611343429</v>
      </c>
      <c r="H271" s="326">
        <v>72468.603470413349</v>
      </c>
      <c r="I271" s="39">
        <f t="shared" si="124"/>
        <v>88374.790320921355</v>
      </c>
      <c r="J271" s="39">
        <f t="shared" si="202"/>
        <v>530248.74192552816</v>
      </c>
      <c r="K271" s="2"/>
      <c r="L271" s="187"/>
      <c r="M271" s="2"/>
    </row>
    <row r="272" spans="1:13" x14ac:dyDescent="0.3">
      <c r="A272" s="36" t="s">
        <v>494</v>
      </c>
      <c r="B272" s="37">
        <f>IFERROR(J272/(J$14+J$45+J$76),"-")</f>
        <v>7.7687840712961725E-2</v>
      </c>
      <c r="C272" s="324">
        <v>14906.457057600443</v>
      </c>
      <c r="D272" s="324">
        <v>41410.902654318052</v>
      </c>
      <c r="E272" s="324">
        <v>86279.985279643675</v>
      </c>
      <c r="F272" s="324">
        <v>149991.0989327284</v>
      </c>
      <c r="G272" s="324">
        <v>318876.8407360256</v>
      </c>
      <c r="H272" s="326">
        <v>440535.66027184774</v>
      </c>
      <c r="I272" s="39">
        <f t="shared" si="124"/>
        <v>175333.49082202732</v>
      </c>
      <c r="J272" s="39">
        <f t="shared" si="202"/>
        <v>1052000.9449321639</v>
      </c>
      <c r="K272" s="2"/>
      <c r="L272" s="187"/>
      <c r="M272" s="2"/>
    </row>
    <row r="273" spans="1:13" x14ac:dyDescent="0.3">
      <c r="A273" s="116" t="s">
        <v>495</v>
      </c>
      <c r="B273" s="313">
        <f>IFERROR(J273/(J$15+J$46+J$77),"-")</f>
        <v>0.33383302956396255</v>
      </c>
      <c r="C273" s="294">
        <f>SUM(C274:C277)</f>
        <v>1010200.1972444414</v>
      </c>
      <c r="D273" s="297">
        <f t="shared" ref="D273:H273" si="203">SUM(D274:D277)</f>
        <v>1043371.9052833931</v>
      </c>
      <c r="E273" s="297">
        <f t="shared" si="203"/>
        <v>772425.81017377705</v>
      </c>
      <c r="F273" s="297">
        <f t="shared" si="203"/>
        <v>584298.08928981854</v>
      </c>
      <c r="G273" s="297">
        <f t="shared" si="203"/>
        <v>826818.14091117552</v>
      </c>
      <c r="H273" s="296">
        <f t="shared" si="203"/>
        <v>814515.88461890118</v>
      </c>
      <c r="I273" s="62">
        <f t="shared" si="124"/>
        <v>841938.33792025095</v>
      </c>
      <c r="J273" s="62">
        <f t="shared" si="202"/>
        <v>5051630.027521506</v>
      </c>
      <c r="K273" s="2"/>
      <c r="L273" s="195"/>
      <c r="M273" s="2"/>
    </row>
    <row r="274" spans="1:13" x14ac:dyDescent="0.3">
      <c r="A274" s="36" t="s">
        <v>491</v>
      </c>
      <c r="B274" s="37" t="str">
        <f>IFERROR(J274/(J$16+J$47+J$78),"-")</f>
        <v>-</v>
      </c>
      <c r="C274" s="324">
        <v>0</v>
      </c>
      <c r="D274" s="324">
        <v>0</v>
      </c>
      <c r="E274" s="324">
        <v>0</v>
      </c>
      <c r="F274" s="324">
        <v>0</v>
      </c>
      <c r="G274" s="324">
        <v>0</v>
      </c>
      <c r="H274" s="326">
        <v>0</v>
      </c>
      <c r="I274" s="39">
        <f t="shared" si="124"/>
        <v>0</v>
      </c>
      <c r="J274" s="39">
        <f t="shared" si="202"/>
        <v>0</v>
      </c>
      <c r="K274" s="2"/>
      <c r="L274" s="187"/>
      <c r="M274" s="2"/>
    </row>
    <row r="275" spans="1:13" x14ac:dyDescent="0.3">
      <c r="A275" s="36" t="s">
        <v>492</v>
      </c>
      <c r="B275" s="37">
        <f>IFERROR(J275/(J$17+J$48+J$79),"-")</f>
        <v>0.33383302956396255</v>
      </c>
      <c r="C275" s="324">
        <v>1010200.1972444414</v>
      </c>
      <c r="D275" s="324">
        <v>1043371.9052833931</v>
      </c>
      <c r="E275" s="324">
        <v>772425.81017377705</v>
      </c>
      <c r="F275" s="324">
        <v>584298.08928981854</v>
      </c>
      <c r="G275" s="324">
        <v>826818.14091117552</v>
      </c>
      <c r="H275" s="326">
        <v>814515.88461890118</v>
      </c>
      <c r="I275" s="39">
        <f t="shared" ref="I275" si="204">IFERROR(AVERAGE(C275:H275),0)</f>
        <v>841938.33792025095</v>
      </c>
      <c r="J275" s="39">
        <f t="shared" ref="J275" si="205">SUM(C275:H275)</f>
        <v>5051630.027521506</v>
      </c>
      <c r="K275" s="2"/>
      <c r="L275" s="187"/>
      <c r="M275" s="2"/>
    </row>
    <row r="276" spans="1:13" x14ac:dyDescent="0.3">
      <c r="A276" s="36" t="s">
        <v>493</v>
      </c>
      <c r="B276" s="37" t="str">
        <f>IFERROR(J276/(J$18+J$49+J$80),"-")</f>
        <v>-</v>
      </c>
      <c r="C276" s="324">
        <v>0</v>
      </c>
      <c r="D276" s="324">
        <v>0</v>
      </c>
      <c r="E276" s="324">
        <v>0</v>
      </c>
      <c r="F276" s="324">
        <v>0</v>
      </c>
      <c r="G276" s="324">
        <v>0</v>
      </c>
      <c r="H276" s="326">
        <v>0</v>
      </c>
      <c r="I276" s="39">
        <f t="shared" si="124"/>
        <v>0</v>
      </c>
      <c r="J276" s="39">
        <f t="shared" si="202"/>
        <v>0</v>
      </c>
      <c r="K276" s="2"/>
      <c r="L276" s="187"/>
      <c r="M276" s="2"/>
    </row>
    <row r="277" spans="1:13" x14ac:dyDescent="0.3">
      <c r="A277" s="59" t="s">
        <v>494</v>
      </c>
      <c r="B277" s="79" t="str">
        <f>IFERROR(J277/(J$19+J$50+J$81),"-")</f>
        <v>-</v>
      </c>
      <c r="C277" s="330">
        <v>0</v>
      </c>
      <c r="D277" s="330">
        <v>0</v>
      </c>
      <c r="E277" s="330">
        <v>0</v>
      </c>
      <c r="F277" s="330">
        <v>0</v>
      </c>
      <c r="G277" s="330">
        <v>0</v>
      </c>
      <c r="H277" s="331">
        <v>0</v>
      </c>
      <c r="I277" s="229">
        <f t="shared" si="124"/>
        <v>0</v>
      </c>
      <c r="J277" s="229">
        <f t="shared" si="202"/>
        <v>0</v>
      </c>
      <c r="K277" s="2"/>
      <c r="L277" s="202"/>
      <c r="M277" s="2"/>
    </row>
    <row r="278" spans="1:13" x14ac:dyDescent="0.3">
      <c r="A278" s="116" t="s">
        <v>496</v>
      </c>
      <c r="B278" s="313" t="str">
        <f>IFERROR(J278/(J$20+J$51+J$82),"-")</f>
        <v>-</v>
      </c>
      <c r="C278" s="294">
        <f>SUM(C279:C282)</f>
        <v>0</v>
      </c>
      <c r="D278" s="297">
        <f t="shared" ref="D278:H278" si="206">SUM(D279:D282)</f>
        <v>0</v>
      </c>
      <c r="E278" s="297">
        <f t="shared" si="206"/>
        <v>0</v>
      </c>
      <c r="F278" s="297">
        <f t="shared" si="206"/>
        <v>0</v>
      </c>
      <c r="G278" s="297">
        <f t="shared" si="206"/>
        <v>0</v>
      </c>
      <c r="H278" s="296">
        <f t="shared" si="206"/>
        <v>0</v>
      </c>
      <c r="I278" s="62">
        <f t="shared" ref="I278:I287" si="207">IFERROR(AVERAGE(C278:H278),0)</f>
        <v>0</v>
      </c>
      <c r="J278" s="62">
        <f>SUM(C278:H278)</f>
        <v>0</v>
      </c>
      <c r="K278" s="2"/>
      <c r="L278" s="187"/>
      <c r="M278" s="2"/>
    </row>
    <row r="279" spans="1:13" x14ac:dyDescent="0.3">
      <c r="A279" s="36" t="s">
        <v>491</v>
      </c>
      <c r="B279" s="37" t="str">
        <f>IFERROR(J279/(J$21+J$52+J$83),"-")</f>
        <v>-</v>
      </c>
      <c r="C279" s="324">
        <v>0</v>
      </c>
      <c r="D279" s="325">
        <v>0</v>
      </c>
      <c r="E279" s="325">
        <v>0</v>
      </c>
      <c r="F279" s="325">
        <v>0</v>
      </c>
      <c r="G279" s="325">
        <v>0</v>
      </c>
      <c r="H279" s="326">
        <v>0</v>
      </c>
      <c r="I279" s="10">
        <f t="shared" si="207"/>
        <v>0</v>
      </c>
      <c r="J279" s="39">
        <f t="shared" ref="J279:J287" si="208">SUM(C279:H279)</f>
        <v>0</v>
      </c>
      <c r="K279" s="2"/>
      <c r="L279" s="186"/>
      <c r="M279" s="2"/>
    </row>
    <row r="280" spans="1:13" ht="13.15" customHeight="1" x14ac:dyDescent="0.3">
      <c r="A280" s="36" t="s">
        <v>492</v>
      </c>
      <c r="B280" s="37" t="str">
        <f>IFERROR(J280/(J$22+J$53+J$84),"-")</f>
        <v>-</v>
      </c>
      <c r="C280" s="324">
        <v>0</v>
      </c>
      <c r="D280" s="324">
        <v>0</v>
      </c>
      <c r="E280" s="324">
        <v>0</v>
      </c>
      <c r="F280" s="324">
        <v>0</v>
      </c>
      <c r="G280" s="324">
        <v>0</v>
      </c>
      <c r="H280" s="326">
        <v>0</v>
      </c>
      <c r="I280" s="39">
        <f t="shared" si="207"/>
        <v>0</v>
      </c>
      <c r="J280" s="39">
        <f t="shared" si="208"/>
        <v>0</v>
      </c>
      <c r="K280" s="2"/>
      <c r="L280" s="187"/>
      <c r="M280" s="2"/>
    </row>
    <row r="281" spans="1:13" x14ac:dyDescent="0.3">
      <c r="A281" s="36" t="s">
        <v>493</v>
      </c>
      <c r="B281" s="37" t="str">
        <f>IFERROR(J281/(J$23+J$54+J$85),"-")</f>
        <v>-</v>
      </c>
      <c r="C281" s="324">
        <v>0</v>
      </c>
      <c r="D281" s="324">
        <v>0</v>
      </c>
      <c r="E281" s="324">
        <v>0</v>
      </c>
      <c r="F281" s="324">
        <v>0</v>
      </c>
      <c r="G281" s="324">
        <v>0</v>
      </c>
      <c r="H281" s="326">
        <v>0</v>
      </c>
      <c r="I281" s="39">
        <f t="shared" si="207"/>
        <v>0</v>
      </c>
      <c r="J281" s="39">
        <f t="shared" si="208"/>
        <v>0</v>
      </c>
      <c r="K281" s="2"/>
      <c r="L281" s="187"/>
      <c r="M281" s="2"/>
    </row>
    <row r="282" spans="1:13" x14ac:dyDescent="0.3">
      <c r="A282" s="36" t="s">
        <v>494</v>
      </c>
      <c r="B282" s="37" t="str">
        <f>IFERROR(J282/(J$24+J$55+J$86),"-")</f>
        <v>-</v>
      </c>
      <c r="C282" s="324">
        <v>0</v>
      </c>
      <c r="D282" s="324">
        <v>0</v>
      </c>
      <c r="E282" s="324">
        <v>0</v>
      </c>
      <c r="F282" s="324">
        <v>0</v>
      </c>
      <c r="G282" s="324">
        <v>0</v>
      </c>
      <c r="H282" s="326">
        <v>0</v>
      </c>
      <c r="I282" s="39">
        <f t="shared" si="207"/>
        <v>0</v>
      </c>
      <c r="J282" s="39">
        <f t="shared" si="208"/>
        <v>0</v>
      </c>
      <c r="K282" s="2"/>
      <c r="L282" s="187"/>
      <c r="M282" s="2"/>
    </row>
    <row r="283" spans="1:13" x14ac:dyDescent="0.3">
      <c r="A283" s="116" t="s">
        <v>272</v>
      </c>
      <c r="B283" s="313">
        <f>IFERROR(J283/(J$25+J$56+J$87),"-")</f>
        <v>7.9616160374617346E-3</v>
      </c>
      <c r="C283" s="294">
        <f>SUM(C284:C287)</f>
        <v>1858.9794735381786</v>
      </c>
      <c r="D283" s="297">
        <f t="shared" ref="D283:H283" si="209">SUM(D284:D287)</f>
        <v>656.59187309384595</v>
      </c>
      <c r="E283" s="297">
        <f t="shared" si="209"/>
        <v>1594.4612069291661</v>
      </c>
      <c r="F283" s="297">
        <f t="shared" si="209"/>
        <v>1720.7040464684255</v>
      </c>
      <c r="G283" s="297">
        <f t="shared" si="209"/>
        <v>5796.9093938671722</v>
      </c>
      <c r="H283" s="296">
        <f t="shared" si="209"/>
        <v>7362.6273243493879</v>
      </c>
      <c r="I283" s="62">
        <f t="shared" si="207"/>
        <v>3165.0455530410291</v>
      </c>
      <c r="J283" s="62">
        <f t="shared" si="208"/>
        <v>18990.273318246174</v>
      </c>
      <c r="K283" s="2"/>
      <c r="L283" s="195"/>
      <c r="M283" s="2"/>
    </row>
    <row r="284" spans="1:13" x14ac:dyDescent="0.3">
      <c r="A284" s="36" t="s">
        <v>491</v>
      </c>
      <c r="B284" s="37">
        <f>IFERROR(J284/(J$26+J$57+J$88),"-")</f>
        <v>4.2149096929135288E-3</v>
      </c>
      <c r="C284" s="324">
        <v>1858.9794735381786</v>
      </c>
      <c r="D284" s="324">
        <v>656.59187309384595</v>
      </c>
      <c r="E284" s="324">
        <v>1594.4612069291661</v>
      </c>
      <c r="F284" s="324">
        <v>671.38135373619593</v>
      </c>
      <c r="G284" s="324">
        <v>1705.652597292941</v>
      </c>
      <c r="H284" s="326">
        <v>1947.0170547941373</v>
      </c>
      <c r="I284" s="39">
        <f t="shared" si="207"/>
        <v>1405.6805932307441</v>
      </c>
      <c r="J284" s="39">
        <f t="shared" si="208"/>
        <v>8434.083559384464</v>
      </c>
      <c r="K284" s="2"/>
      <c r="L284" s="187"/>
      <c r="M284" s="2"/>
    </row>
    <row r="285" spans="1:13" x14ac:dyDescent="0.3">
      <c r="A285" s="36" t="s">
        <v>492</v>
      </c>
      <c r="B285" s="37" t="str">
        <f>IFERROR(J285/(J$27+J$58+J$89),"-")</f>
        <v>-</v>
      </c>
      <c r="C285" s="324">
        <v>0</v>
      </c>
      <c r="D285" s="324">
        <v>0</v>
      </c>
      <c r="E285" s="324">
        <v>0</v>
      </c>
      <c r="F285" s="324">
        <v>0</v>
      </c>
      <c r="G285" s="324">
        <v>0</v>
      </c>
      <c r="H285" s="326">
        <v>0</v>
      </c>
      <c r="I285" s="39">
        <f t="shared" si="207"/>
        <v>0</v>
      </c>
      <c r="J285" s="39">
        <f t="shared" si="208"/>
        <v>0</v>
      </c>
      <c r="K285" s="2"/>
      <c r="L285" s="187"/>
      <c r="M285" s="2"/>
    </row>
    <row r="286" spans="1:13" x14ac:dyDescent="0.3">
      <c r="A286" s="36" t="s">
        <v>493</v>
      </c>
      <c r="B286" s="37" t="str">
        <f>IFERROR(J286/(J$28+J$59+J$90),"-")</f>
        <v>-</v>
      </c>
      <c r="C286" s="324">
        <v>0</v>
      </c>
      <c r="D286" s="324">
        <v>0</v>
      </c>
      <c r="E286" s="324">
        <v>0</v>
      </c>
      <c r="F286" s="324">
        <v>0</v>
      </c>
      <c r="G286" s="324">
        <v>0</v>
      </c>
      <c r="H286" s="326">
        <v>0</v>
      </c>
      <c r="I286" s="39">
        <f t="shared" si="207"/>
        <v>0</v>
      </c>
      <c r="J286" s="39">
        <f t="shared" si="208"/>
        <v>0</v>
      </c>
      <c r="K286" s="2"/>
      <c r="L286" s="187"/>
      <c r="M286" s="2"/>
    </row>
    <row r="287" spans="1:13" x14ac:dyDescent="0.3">
      <c r="A287" s="59" t="s">
        <v>494</v>
      </c>
      <c r="B287" s="79">
        <f>IFERROR(J287/(J$29+J$60+J$91),"-")</f>
        <v>2.7474566397319607E-2</v>
      </c>
      <c r="C287" s="330">
        <v>0</v>
      </c>
      <c r="D287" s="330">
        <v>0</v>
      </c>
      <c r="E287" s="330">
        <v>0</v>
      </c>
      <c r="F287" s="330">
        <v>1049.3226927322296</v>
      </c>
      <c r="G287" s="330">
        <v>4091.2567965742314</v>
      </c>
      <c r="H287" s="331">
        <v>5415.6102695552509</v>
      </c>
      <c r="I287" s="229">
        <f t="shared" si="207"/>
        <v>1759.3649598102854</v>
      </c>
      <c r="J287" s="229">
        <f t="shared" si="208"/>
        <v>10556.189758861712</v>
      </c>
      <c r="K287" s="2"/>
      <c r="L287" s="202"/>
      <c r="M287" s="2"/>
    </row>
    <row r="288" spans="1:13" x14ac:dyDescent="0.3">
      <c r="A288" s="116" t="s">
        <v>274</v>
      </c>
      <c r="B288" s="313">
        <f>IFERROR(J288/(J$30+J$61+J$92),"-")</f>
        <v>0.36142480228011342</v>
      </c>
      <c r="C288" s="294">
        <f>SUM(C289:C292)</f>
        <v>221525.6303076511</v>
      </c>
      <c r="D288" s="297">
        <f t="shared" ref="D288:H288" si="210">SUM(D289:D292)</f>
        <v>74521.033008254948</v>
      </c>
      <c r="E288" s="297">
        <f t="shared" si="210"/>
        <v>585749.98784782144</v>
      </c>
      <c r="F288" s="297">
        <f t="shared" si="210"/>
        <v>71994.812544685003</v>
      </c>
      <c r="G288" s="297">
        <f t="shared" si="210"/>
        <v>381217.78592022683</v>
      </c>
      <c r="H288" s="296">
        <f t="shared" si="210"/>
        <v>24029.298026360328</v>
      </c>
      <c r="I288" s="62">
        <f t="shared" ref="I288:I297" si="211">IFERROR(AVERAGE(C288:H288),0)</f>
        <v>226506.4246091666</v>
      </c>
      <c r="J288" s="62">
        <f>SUM(C288:H288)</f>
        <v>1359038.5476549997</v>
      </c>
      <c r="K288" s="2"/>
      <c r="L288" s="187"/>
      <c r="M288" s="2"/>
    </row>
    <row r="289" spans="1:13" x14ac:dyDescent="0.3">
      <c r="A289" s="36" t="s">
        <v>491</v>
      </c>
      <c r="B289" s="37">
        <f>IFERROR(J289/(J$31+J$62+J$93),"-")</f>
        <v>0.17512184528086178</v>
      </c>
      <c r="C289" s="324">
        <v>25047.267510908026</v>
      </c>
      <c r="D289" s="325">
        <v>49412.98571315952</v>
      </c>
      <c r="E289" s="325">
        <v>46270.710013776188</v>
      </c>
      <c r="F289" s="325">
        <v>25409.36576780981</v>
      </c>
      <c r="G289" s="325">
        <v>19441.44054575593</v>
      </c>
      <c r="H289" s="326">
        <v>9119.7935108037946</v>
      </c>
      <c r="I289" s="10">
        <f t="shared" si="211"/>
        <v>29116.927177035552</v>
      </c>
      <c r="J289" s="39">
        <f t="shared" ref="J289:J297" si="212">SUM(C289:H289)</f>
        <v>174701.5630622133</v>
      </c>
      <c r="K289" s="2"/>
      <c r="L289" s="186"/>
      <c r="M289" s="2"/>
    </row>
    <row r="290" spans="1:13" ht="13.15" customHeight="1" x14ac:dyDescent="0.3">
      <c r="A290" s="36" t="s">
        <v>492</v>
      </c>
      <c r="B290" s="37">
        <f>IFERROR(J290/(J$32+J$63+J$94),"-")</f>
        <v>0.42869989396918373</v>
      </c>
      <c r="C290" s="324">
        <v>196478.36279674308</v>
      </c>
      <c r="D290" s="324">
        <v>25108.047295095421</v>
      </c>
      <c r="E290" s="324">
        <v>539479.27783404524</v>
      </c>
      <c r="F290" s="324">
        <v>46585.446776875193</v>
      </c>
      <c r="G290" s="324">
        <v>361776.34537447093</v>
      </c>
      <c r="H290" s="326">
        <v>14909.504515556533</v>
      </c>
      <c r="I290" s="39">
        <f t="shared" si="211"/>
        <v>197389.49743213109</v>
      </c>
      <c r="J290" s="39">
        <f t="shared" si="212"/>
        <v>1184336.9845927865</v>
      </c>
      <c r="K290" s="2"/>
      <c r="L290" s="187"/>
      <c r="M290" s="2"/>
    </row>
    <row r="291" spans="1:13" x14ac:dyDescent="0.3">
      <c r="A291" s="36" t="s">
        <v>493</v>
      </c>
      <c r="B291" s="37" t="str">
        <f>IFERROR(J291/(J$33+J$64+J$95),"-")</f>
        <v>-</v>
      </c>
      <c r="C291" s="324">
        <v>0</v>
      </c>
      <c r="D291" s="324">
        <v>0</v>
      </c>
      <c r="E291" s="324">
        <v>0</v>
      </c>
      <c r="F291" s="324">
        <v>0</v>
      </c>
      <c r="G291" s="324">
        <v>0</v>
      </c>
      <c r="H291" s="326">
        <v>0</v>
      </c>
      <c r="I291" s="39">
        <f t="shared" si="211"/>
        <v>0</v>
      </c>
      <c r="J291" s="39">
        <f t="shared" si="212"/>
        <v>0</v>
      </c>
      <c r="K291" s="2"/>
      <c r="L291" s="187"/>
      <c r="M291" s="2"/>
    </row>
    <row r="292" spans="1:13" x14ac:dyDescent="0.3">
      <c r="A292" s="36" t="s">
        <v>494</v>
      </c>
      <c r="B292" s="37" t="str">
        <f>IFERROR(J292/(J$34+J$65+J$96),"-")</f>
        <v>-</v>
      </c>
      <c r="C292" s="324">
        <v>0</v>
      </c>
      <c r="D292" s="324">
        <v>0</v>
      </c>
      <c r="E292" s="324">
        <v>0</v>
      </c>
      <c r="F292" s="324">
        <v>0</v>
      </c>
      <c r="G292" s="324">
        <v>0</v>
      </c>
      <c r="H292" s="326">
        <v>0</v>
      </c>
      <c r="I292" s="39">
        <f t="shared" si="211"/>
        <v>0</v>
      </c>
      <c r="J292" s="39">
        <f t="shared" si="212"/>
        <v>0</v>
      </c>
      <c r="K292" s="2"/>
      <c r="L292" s="187"/>
      <c r="M292" s="2"/>
    </row>
    <row r="293" spans="1:13" x14ac:dyDescent="0.3">
      <c r="A293" s="116" t="s">
        <v>462</v>
      </c>
      <c r="B293" s="313" t="str">
        <f>IFERROR(J293/(J$35+J$66+J$97),"-")</f>
        <v>-</v>
      </c>
      <c r="C293" s="294">
        <f>SUM(C294:C297)</f>
        <v>0</v>
      </c>
      <c r="D293" s="297">
        <f t="shared" ref="D293:H293" si="213">SUM(D294:D297)</f>
        <v>0</v>
      </c>
      <c r="E293" s="297">
        <f t="shared" si="213"/>
        <v>0</v>
      </c>
      <c r="F293" s="297">
        <f t="shared" si="213"/>
        <v>0</v>
      </c>
      <c r="G293" s="297">
        <f t="shared" si="213"/>
        <v>0</v>
      </c>
      <c r="H293" s="296">
        <f t="shared" si="213"/>
        <v>0</v>
      </c>
      <c r="I293" s="62">
        <f t="shared" si="211"/>
        <v>0</v>
      </c>
      <c r="J293" s="62">
        <f t="shared" si="212"/>
        <v>0</v>
      </c>
      <c r="K293" s="2"/>
      <c r="L293" s="195"/>
      <c r="M293" s="2"/>
    </row>
    <row r="294" spans="1:13" x14ac:dyDescent="0.3">
      <c r="A294" s="36" t="s">
        <v>491</v>
      </c>
      <c r="B294" s="37" t="str">
        <f>IFERROR(J294/(J$36+J$67+J$98),"-")</f>
        <v>-</v>
      </c>
      <c r="C294" s="324">
        <v>0</v>
      </c>
      <c r="D294" s="324">
        <v>0</v>
      </c>
      <c r="E294" s="324">
        <v>0</v>
      </c>
      <c r="F294" s="324">
        <v>0</v>
      </c>
      <c r="G294" s="324">
        <v>0</v>
      </c>
      <c r="H294" s="326">
        <v>0</v>
      </c>
      <c r="I294" s="39">
        <f t="shared" si="211"/>
        <v>0</v>
      </c>
      <c r="J294" s="39">
        <f t="shared" si="212"/>
        <v>0</v>
      </c>
      <c r="K294" s="2"/>
      <c r="L294" s="187"/>
      <c r="M294" s="2"/>
    </row>
    <row r="295" spans="1:13" x14ac:dyDescent="0.3">
      <c r="A295" s="36" t="s">
        <v>492</v>
      </c>
      <c r="B295" s="37" t="str">
        <f>IFERROR(J295/(J$37+J$68+J$99),"-")</f>
        <v>-</v>
      </c>
      <c r="C295" s="324">
        <v>0</v>
      </c>
      <c r="D295" s="324">
        <v>0</v>
      </c>
      <c r="E295" s="324">
        <v>0</v>
      </c>
      <c r="F295" s="324">
        <v>0</v>
      </c>
      <c r="G295" s="324">
        <v>0</v>
      </c>
      <c r="H295" s="326">
        <v>0</v>
      </c>
      <c r="I295" s="39">
        <f t="shared" si="211"/>
        <v>0</v>
      </c>
      <c r="J295" s="39">
        <f t="shared" si="212"/>
        <v>0</v>
      </c>
      <c r="K295" s="2"/>
      <c r="L295" s="187"/>
      <c r="M295" s="2"/>
    </row>
    <row r="296" spans="1:13" x14ac:dyDescent="0.3">
      <c r="A296" s="36" t="s">
        <v>493</v>
      </c>
      <c r="B296" s="37" t="str">
        <f>IFERROR(J296/(J$38+J$69+J$100),"-")</f>
        <v>-</v>
      </c>
      <c r="C296" s="324">
        <v>0</v>
      </c>
      <c r="D296" s="324">
        <v>0</v>
      </c>
      <c r="E296" s="324">
        <v>0</v>
      </c>
      <c r="F296" s="324">
        <v>0</v>
      </c>
      <c r="G296" s="324">
        <v>0</v>
      </c>
      <c r="H296" s="326">
        <v>0</v>
      </c>
      <c r="I296" s="39">
        <f t="shared" si="211"/>
        <v>0</v>
      </c>
      <c r="J296" s="39">
        <f t="shared" si="212"/>
        <v>0</v>
      </c>
      <c r="K296" s="2"/>
      <c r="L296" s="187"/>
      <c r="M296" s="2"/>
    </row>
    <row r="297" spans="1:13" x14ac:dyDescent="0.3">
      <c r="A297" s="59" t="s">
        <v>494</v>
      </c>
      <c r="B297" s="79" t="str">
        <f>IFERROR(J297/(J$39+J$70+J$101),"-")</f>
        <v>-</v>
      </c>
      <c r="C297" s="330">
        <v>0</v>
      </c>
      <c r="D297" s="330">
        <v>0</v>
      </c>
      <c r="E297" s="330">
        <v>0</v>
      </c>
      <c r="F297" s="330">
        <v>0</v>
      </c>
      <c r="G297" s="330">
        <v>0</v>
      </c>
      <c r="H297" s="331">
        <v>0</v>
      </c>
      <c r="I297" s="229">
        <f t="shared" si="211"/>
        <v>0</v>
      </c>
      <c r="J297" s="229">
        <f t="shared" si="212"/>
        <v>0</v>
      </c>
      <c r="K297" s="2"/>
      <c r="L297" s="202"/>
      <c r="M297" s="2"/>
    </row>
    <row r="298" spans="1:13" x14ac:dyDescent="0.3">
      <c r="A298" s="115" t="s">
        <v>445</v>
      </c>
      <c r="B298" s="53"/>
      <c r="C298" s="223">
        <f>C299+C304+C309+C314+C319+C324</f>
        <v>310927.73265446897</v>
      </c>
      <c r="D298" s="221">
        <f t="shared" ref="D298" si="214">D299+D304+D309+D314+D319+D324</f>
        <v>333628.93724374875</v>
      </c>
      <c r="E298" s="221">
        <f t="shared" ref="E298" si="215">E299+E304+E309+E314+E319+E324</f>
        <v>325552.66961066518</v>
      </c>
      <c r="F298" s="221">
        <f t="shared" ref="F298" si="216">F299+F304+F309+F314+F319+F324</f>
        <v>385457.04795810638</v>
      </c>
      <c r="G298" s="221">
        <f t="shared" ref="G298" si="217">G299+G304+G309+G314+G319+G324</f>
        <v>351609.05424299929</v>
      </c>
      <c r="H298" s="222">
        <f t="shared" ref="H298" si="218">H299+H304+H309+H314+H319+H324</f>
        <v>477291.17546812218</v>
      </c>
      <c r="I298" s="301">
        <f t="shared" ref="I298:I318" si="219">IFERROR(AVERAGE(C298:H298),0)</f>
        <v>364077.76952968515</v>
      </c>
      <c r="J298" s="301">
        <f>SUM(C298:H298)</f>
        <v>2184466.6171781109</v>
      </c>
      <c r="K298" s="2"/>
      <c r="L298" s="187"/>
      <c r="M298" s="2"/>
    </row>
    <row r="299" spans="1:13" x14ac:dyDescent="0.3">
      <c r="A299" s="116" t="s">
        <v>273</v>
      </c>
      <c r="B299" s="313">
        <f>IFERROR(J299/(J$10+J$41+J$72),"-")</f>
        <v>3.347129532014341E-2</v>
      </c>
      <c r="C299" s="294">
        <f>SUM(C300:C303)</f>
        <v>125439.09405823263</v>
      </c>
      <c r="D299" s="297">
        <f t="shared" ref="D299" si="220">SUM(D300:D303)</f>
        <v>156313.91614844554</v>
      </c>
      <c r="E299" s="297">
        <f t="shared" ref="E299" si="221">SUM(E300:E303)</f>
        <v>117644.84907760346</v>
      </c>
      <c r="F299" s="297">
        <f t="shared" ref="F299" si="222">SUM(F300:F303)</f>
        <v>264778.06130568683</v>
      </c>
      <c r="G299" s="297">
        <f t="shared" ref="G299" si="223">SUM(G300:G303)</f>
        <v>146885.28588382906</v>
      </c>
      <c r="H299" s="296">
        <f t="shared" ref="H299" si="224">SUM(H300:H303)</f>
        <v>278660.51171356812</v>
      </c>
      <c r="I299" s="62">
        <f t="shared" si="219"/>
        <v>181620.28636456095</v>
      </c>
      <c r="J299" s="62">
        <f>SUM(C299:H299)</f>
        <v>1089721.7181873657</v>
      </c>
      <c r="K299" s="2"/>
      <c r="L299" s="187"/>
      <c r="M299" s="2"/>
    </row>
    <row r="300" spans="1:13" x14ac:dyDescent="0.3">
      <c r="A300" s="36" t="s">
        <v>491</v>
      </c>
      <c r="B300" s="37">
        <f>IFERROR(J300/(J$11+J$42+J$73),"-")</f>
        <v>2.7634630840626343E-2</v>
      </c>
      <c r="C300" s="324">
        <v>71074.078040374239</v>
      </c>
      <c r="D300" s="325">
        <v>47760.374817464974</v>
      </c>
      <c r="E300" s="325">
        <v>33312.657191770617</v>
      </c>
      <c r="F300" s="325">
        <v>33394.735812443614</v>
      </c>
      <c r="G300" s="325">
        <v>26014.922773603797</v>
      </c>
      <c r="H300" s="326">
        <v>16126.338175386285</v>
      </c>
      <c r="I300" s="10">
        <f t="shared" si="219"/>
        <v>37947.18446850725</v>
      </c>
      <c r="J300" s="39">
        <f t="shared" ref="J300:J308" si="225">SUM(C300:H300)</f>
        <v>227683.10681104352</v>
      </c>
      <c r="K300" s="2"/>
      <c r="L300" s="186"/>
      <c r="M300" s="2"/>
    </row>
    <row r="301" spans="1:13" ht="13.15" customHeight="1" x14ac:dyDescent="0.3">
      <c r="A301" s="36" t="s">
        <v>492</v>
      </c>
      <c r="B301" s="37">
        <f>IFERROR(J301/(J$12+J$43+J$74),"-")</f>
        <v>6.8303494336158538E-2</v>
      </c>
      <c r="C301" s="324">
        <v>31862.166639528376</v>
      </c>
      <c r="D301" s="324">
        <v>94915.772309744512</v>
      </c>
      <c r="E301" s="324">
        <v>52247.423649786127</v>
      </c>
      <c r="F301" s="324">
        <v>196995.44804661933</v>
      </c>
      <c r="G301" s="324">
        <v>54761.397528838512</v>
      </c>
      <c r="H301" s="326">
        <v>151054.49779031429</v>
      </c>
      <c r="I301" s="39">
        <f t="shared" si="219"/>
        <v>96972.784327471847</v>
      </c>
      <c r="J301" s="39">
        <f t="shared" si="225"/>
        <v>581836.70596483105</v>
      </c>
      <c r="K301" s="2"/>
      <c r="L301" s="187"/>
      <c r="M301" s="2"/>
    </row>
    <row r="302" spans="1:13" x14ac:dyDescent="0.3">
      <c r="A302" s="36" t="s">
        <v>493</v>
      </c>
      <c r="B302" s="37">
        <f>IFERROR(J302/(J$13+J$44+J$75),"-")</f>
        <v>3.7827299999999994E-2</v>
      </c>
      <c r="C302" s="324">
        <v>20373.730396011641</v>
      </c>
      <c r="D302" s="324">
        <v>7205.3725908855331</v>
      </c>
      <c r="E302" s="324">
        <v>19412.697921456758</v>
      </c>
      <c r="F302" s="324">
        <v>7828.146924725369</v>
      </c>
      <c r="G302" s="324">
        <v>14848.583990079782</v>
      </c>
      <c r="H302" s="326">
        <v>15747.971289457621</v>
      </c>
      <c r="I302" s="39">
        <f t="shared" si="219"/>
        <v>14236.083852102785</v>
      </c>
      <c r="J302" s="39">
        <f t="shared" si="225"/>
        <v>85416.503112616716</v>
      </c>
      <c r="K302" s="2"/>
      <c r="L302" s="187"/>
      <c r="M302" s="2"/>
    </row>
    <row r="303" spans="1:13" x14ac:dyDescent="0.3">
      <c r="A303" s="36" t="s">
        <v>494</v>
      </c>
      <c r="B303" s="37">
        <f>IFERROR(J303/(J$14+J$45+J$76),"-")</f>
        <v>1.4384452200260044E-2</v>
      </c>
      <c r="C303" s="324">
        <v>2129.1189823183622</v>
      </c>
      <c r="D303" s="324">
        <v>6432.3964303505227</v>
      </c>
      <c r="E303" s="324">
        <v>12672.070314589964</v>
      </c>
      <c r="F303" s="324">
        <v>26559.730521898487</v>
      </c>
      <c r="G303" s="324">
        <v>51260.38159130697</v>
      </c>
      <c r="H303" s="326">
        <v>95731.70445840992</v>
      </c>
      <c r="I303" s="39">
        <f t="shared" si="219"/>
        <v>32464.233716479037</v>
      </c>
      <c r="J303" s="39">
        <f t="shared" si="225"/>
        <v>194785.40229887422</v>
      </c>
      <c r="K303" s="2"/>
      <c r="L303" s="187"/>
      <c r="M303" s="2"/>
    </row>
    <row r="304" spans="1:13" x14ac:dyDescent="0.3">
      <c r="A304" s="116" t="s">
        <v>495</v>
      </c>
      <c r="B304" s="313">
        <f>IFERROR(J304/(J$15+J$46+J$77),"-")</f>
        <v>5.5060240276829285E-2</v>
      </c>
      <c r="C304" s="294">
        <f>SUM(C305:C308)</f>
        <v>144288.90832904077</v>
      </c>
      <c r="D304" s="297">
        <f t="shared" ref="D304" si="226">SUM(D305:D308)</f>
        <v>162067.98907758429</v>
      </c>
      <c r="E304" s="297">
        <f t="shared" ref="E304" si="227">SUM(E305:E308)</f>
        <v>113447.33251404017</v>
      </c>
      <c r="F304" s="297">
        <f t="shared" ref="F304" si="228">SUM(F305:F308)</f>
        <v>103464.80495457943</v>
      </c>
      <c r="G304" s="297">
        <f t="shared" ref="G304" si="229">SUM(G305:G308)</f>
        <v>132913.42611114119</v>
      </c>
      <c r="H304" s="296">
        <f t="shared" ref="H304" si="230">SUM(H305:H308)</f>
        <v>177000.41330343118</v>
      </c>
      <c r="I304" s="62">
        <f t="shared" si="219"/>
        <v>138863.81238163621</v>
      </c>
      <c r="J304" s="62">
        <f t="shared" si="225"/>
        <v>833182.87428981718</v>
      </c>
      <c r="K304" s="2"/>
      <c r="L304" s="195"/>
      <c r="M304" s="2"/>
    </row>
    <row r="305" spans="1:13" x14ac:dyDescent="0.3">
      <c r="A305" s="36" t="s">
        <v>491</v>
      </c>
      <c r="B305" s="37" t="str">
        <f>IFERROR(J305/(J$16+J$47+J$78),"-")</f>
        <v>-</v>
      </c>
      <c r="C305" s="324">
        <v>0</v>
      </c>
      <c r="D305" s="324">
        <v>0</v>
      </c>
      <c r="E305" s="324">
        <v>0</v>
      </c>
      <c r="F305" s="324">
        <v>0</v>
      </c>
      <c r="G305" s="324">
        <v>0</v>
      </c>
      <c r="H305" s="326">
        <v>0</v>
      </c>
      <c r="I305" s="39">
        <f t="shared" si="219"/>
        <v>0</v>
      </c>
      <c r="J305" s="39">
        <f t="shared" si="225"/>
        <v>0</v>
      </c>
      <c r="K305" s="2"/>
      <c r="L305" s="187"/>
      <c r="M305" s="2"/>
    </row>
    <row r="306" spans="1:13" x14ac:dyDescent="0.3">
      <c r="A306" s="36" t="s">
        <v>492</v>
      </c>
      <c r="B306" s="37">
        <f>IFERROR(J306/(J$17+J$48+J$79),"-")</f>
        <v>5.5060240276829285E-2</v>
      </c>
      <c r="C306" s="324">
        <v>144288.90832904077</v>
      </c>
      <c r="D306" s="324">
        <v>162067.98907758429</v>
      </c>
      <c r="E306" s="324">
        <v>113447.33251404017</v>
      </c>
      <c r="F306" s="324">
        <v>103464.80495457943</v>
      </c>
      <c r="G306" s="324">
        <v>132913.42611114119</v>
      </c>
      <c r="H306" s="326">
        <v>177000.41330343118</v>
      </c>
      <c r="I306" s="39">
        <f t="shared" ref="I306" si="231">IFERROR(AVERAGE(C306:H306),0)</f>
        <v>138863.81238163621</v>
      </c>
      <c r="J306" s="39">
        <f t="shared" ref="J306" si="232">SUM(C306:H306)</f>
        <v>833182.87428981718</v>
      </c>
      <c r="K306" s="2"/>
      <c r="L306" s="187"/>
      <c r="M306" s="2"/>
    </row>
    <row r="307" spans="1:13" x14ac:dyDescent="0.3">
      <c r="A307" s="36" t="s">
        <v>493</v>
      </c>
      <c r="B307" s="37" t="str">
        <f>IFERROR(J307/(J$18+J$49+J$80),"-")</f>
        <v>-</v>
      </c>
      <c r="C307" s="324">
        <v>0</v>
      </c>
      <c r="D307" s="324">
        <v>0</v>
      </c>
      <c r="E307" s="324">
        <v>0</v>
      </c>
      <c r="F307" s="324">
        <v>0</v>
      </c>
      <c r="G307" s="324">
        <v>0</v>
      </c>
      <c r="H307" s="326">
        <v>0</v>
      </c>
      <c r="I307" s="39">
        <f t="shared" si="219"/>
        <v>0</v>
      </c>
      <c r="J307" s="39">
        <f t="shared" si="225"/>
        <v>0</v>
      </c>
      <c r="K307" s="2"/>
      <c r="L307" s="187"/>
      <c r="M307" s="2"/>
    </row>
    <row r="308" spans="1:13" x14ac:dyDescent="0.3">
      <c r="A308" s="59" t="s">
        <v>494</v>
      </c>
      <c r="B308" s="79" t="str">
        <f>IFERROR(J308/(J$19+J$50+J$81),"-")</f>
        <v>-</v>
      </c>
      <c r="C308" s="330">
        <v>0</v>
      </c>
      <c r="D308" s="330">
        <v>0</v>
      </c>
      <c r="E308" s="330">
        <v>0</v>
      </c>
      <c r="F308" s="330">
        <v>0</v>
      </c>
      <c r="G308" s="330">
        <v>0</v>
      </c>
      <c r="H308" s="331">
        <v>0</v>
      </c>
      <c r="I308" s="229">
        <f t="shared" si="219"/>
        <v>0</v>
      </c>
      <c r="J308" s="229">
        <f t="shared" si="225"/>
        <v>0</v>
      </c>
      <c r="K308" s="2"/>
      <c r="L308" s="202"/>
      <c r="M308" s="2"/>
    </row>
    <row r="309" spans="1:13" x14ac:dyDescent="0.3">
      <c r="A309" s="116" t="s">
        <v>496</v>
      </c>
      <c r="B309" s="313" t="str">
        <f>IFERROR(J309/(J$20+J$51+J$82),"-")</f>
        <v>-</v>
      </c>
      <c r="C309" s="294">
        <f>SUM(C310:C313)</f>
        <v>0</v>
      </c>
      <c r="D309" s="297">
        <f t="shared" ref="D309:H309" si="233">SUM(D310:D313)</f>
        <v>0</v>
      </c>
      <c r="E309" s="297">
        <f t="shared" si="233"/>
        <v>0</v>
      </c>
      <c r="F309" s="297">
        <f t="shared" si="233"/>
        <v>0</v>
      </c>
      <c r="G309" s="297">
        <f t="shared" si="233"/>
        <v>0</v>
      </c>
      <c r="H309" s="296">
        <f t="shared" si="233"/>
        <v>0</v>
      </c>
      <c r="I309" s="62">
        <f t="shared" si="219"/>
        <v>0</v>
      </c>
      <c r="J309" s="62">
        <f>SUM(C309:H309)</f>
        <v>0</v>
      </c>
      <c r="K309" s="2"/>
      <c r="L309" s="187"/>
      <c r="M309" s="2"/>
    </row>
    <row r="310" spans="1:13" x14ac:dyDescent="0.3">
      <c r="A310" s="36" t="s">
        <v>491</v>
      </c>
      <c r="B310" s="37" t="str">
        <f>IFERROR(J310/(J$21+J$52+J$83),"-")</f>
        <v>-</v>
      </c>
      <c r="C310" s="324">
        <v>0</v>
      </c>
      <c r="D310" s="325">
        <v>0</v>
      </c>
      <c r="E310" s="325">
        <v>0</v>
      </c>
      <c r="F310" s="325">
        <v>0</v>
      </c>
      <c r="G310" s="325">
        <v>0</v>
      </c>
      <c r="H310" s="326">
        <v>0</v>
      </c>
      <c r="I310" s="10">
        <f t="shared" si="219"/>
        <v>0</v>
      </c>
      <c r="J310" s="39">
        <f t="shared" ref="J310:J318" si="234">SUM(C310:H310)</f>
        <v>0</v>
      </c>
      <c r="K310" s="2"/>
      <c r="L310" s="186"/>
      <c r="M310" s="2"/>
    </row>
    <row r="311" spans="1:13" ht="13.15" customHeight="1" x14ac:dyDescent="0.3">
      <c r="A311" s="36" t="s">
        <v>492</v>
      </c>
      <c r="B311" s="37" t="str">
        <f>IFERROR(J311/(J$22+J$53+J$84),"-")</f>
        <v>-</v>
      </c>
      <c r="C311" s="324">
        <v>0</v>
      </c>
      <c r="D311" s="324">
        <v>0</v>
      </c>
      <c r="E311" s="324">
        <v>0</v>
      </c>
      <c r="F311" s="324">
        <v>0</v>
      </c>
      <c r="G311" s="324">
        <v>0</v>
      </c>
      <c r="H311" s="326">
        <v>0</v>
      </c>
      <c r="I311" s="39">
        <f t="shared" si="219"/>
        <v>0</v>
      </c>
      <c r="J311" s="39">
        <f t="shared" si="234"/>
        <v>0</v>
      </c>
      <c r="K311" s="2"/>
      <c r="L311" s="187"/>
      <c r="M311" s="2"/>
    </row>
    <row r="312" spans="1:13" x14ac:dyDescent="0.3">
      <c r="A312" s="36" t="s">
        <v>493</v>
      </c>
      <c r="B312" s="37" t="str">
        <f>IFERROR(J312/(J$23+J$54+J$85),"-")</f>
        <v>-</v>
      </c>
      <c r="C312" s="324">
        <v>0</v>
      </c>
      <c r="D312" s="324">
        <v>0</v>
      </c>
      <c r="E312" s="324">
        <v>0</v>
      </c>
      <c r="F312" s="324">
        <v>0</v>
      </c>
      <c r="G312" s="324">
        <v>0</v>
      </c>
      <c r="H312" s="326">
        <v>0</v>
      </c>
      <c r="I312" s="39">
        <f t="shared" si="219"/>
        <v>0</v>
      </c>
      <c r="J312" s="39">
        <f t="shared" si="234"/>
        <v>0</v>
      </c>
      <c r="K312" s="2"/>
      <c r="L312" s="187"/>
      <c r="M312" s="2"/>
    </row>
    <row r="313" spans="1:13" x14ac:dyDescent="0.3">
      <c r="A313" s="36" t="s">
        <v>494</v>
      </c>
      <c r="B313" s="37" t="str">
        <f>IFERROR(J313/(J$24+J$55+J$86),"-")</f>
        <v>-</v>
      </c>
      <c r="C313" s="324">
        <v>0</v>
      </c>
      <c r="D313" s="324">
        <v>0</v>
      </c>
      <c r="E313" s="324">
        <v>0</v>
      </c>
      <c r="F313" s="324">
        <v>0</v>
      </c>
      <c r="G313" s="324">
        <v>0</v>
      </c>
      <c r="H313" s="326">
        <v>0</v>
      </c>
      <c r="I313" s="39">
        <f t="shared" si="219"/>
        <v>0</v>
      </c>
      <c r="J313" s="39">
        <f t="shared" si="234"/>
        <v>0</v>
      </c>
      <c r="K313" s="2"/>
      <c r="L313" s="187"/>
      <c r="M313" s="2"/>
    </row>
    <row r="314" spans="1:13" x14ac:dyDescent="0.3">
      <c r="A314" s="116" t="s">
        <v>272</v>
      </c>
      <c r="B314" s="313">
        <f>IFERROR(J314/(J$25+J$56+J$87),"-")</f>
        <v>2.2246736825323601E-2</v>
      </c>
      <c r="C314" s="294">
        <f>SUM(C315:C318)</f>
        <v>9558.7828082838023</v>
      </c>
      <c r="D314" s="297">
        <f t="shared" ref="D314:H314" si="235">SUM(D315:D318)</f>
        <v>3671.6063210190014</v>
      </c>
      <c r="E314" s="297">
        <f t="shared" si="235"/>
        <v>8430.5123680050019</v>
      </c>
      <c r="F314" s="297">
        <f t="shared" si="235"/>
        <v>4465.6730612106649</v>
      </c>
      <c r="G314" s="297">
        <f t="shared" si="235"/>
        <v>10528.472010733169</v>
      </c>
      <c r="H314" s="296">
        <f t="shared" si="235"/>
        <v>16408.503690411071</v>
      </c>
      <c r="I314" s="62">
        <f t="shared" si="219"/>
        <v>8843.9250432771169</v>
      </c>
      <c r="J314" s="62">
        <f t="shared" si="234"/>
        <v>53063.550259662705</v>
      </c>
      <c r="K314" s="2"/>
      <c r="L314" s="195"/>
      <c r="M314" s="2"/>
    </row>
    <row r="315" spans="1:13" x14ac:dyDescent="0.3">
      <c r="A315" s="36" t="s">
        <v>491</v>
      </c>
      <c r="B315" s="37">
        <f>IFERROR(J315/(J$26+J$57+J$88),"-")</f>
        <v>2.5508700000000002E-2</v>
      </c>
      <c r="C315" s="324">
        <v>9558.7828082838023</v>
      </c>
      <c r="D315" s="324">
        <v>3671.6063210190014</v>
      </c>
      <c r="E315" s="324">
        <v>8430.5123680050019</v>
      </c>
      <c r="F315" s="324">
        <v>4279.863848878801</v>
      </c>
      <c r="G315" s="324">
        <v>9870.7905557352042</v>
      </c>
      <c r="H315" s="326">
        <v>15231.650943763801</v>
      </c>
      <c r="I315" s="39">
        <f t="shared" si="219"/>
        <v>8507.2011409476017</v>
      </c>
      <c r="J315" s="39">
        <f t="shared" si="234"/>
        <v>51043.206845685614</v>
      </c>
      <c r="K315" s="2"/>
      <c r="L315" s="187"/>
      <c r="M315" s="2"/>
    </row>
    <row r="316" spans="1:13" x14ac:dyDescent="0.3">
      <c r="A316" s="36" t="s">
        <v>492</v>
      </c>
      <c r="B316" s="37" t="str">
        <f>IFERROR(J316/(J$27+J$58+J$89),"-")</f>
        <v>-</v>
      </c>
      <c r="C316" s="324">
        <v>0</v>
      </c>
      <c r="D316" s="324">
        <v>0</v>
      </c>
      <c r="E316" s="324">
        <v>0</v>
      </c>
      <c r="F316" s="324">
        <v>0</v>
      </c>
      <c r="G316" s="324">
        <v>0</v>
      </c>
      <c r="H316" s="326">
        <v>0</v>
      </c>
      <c r="I316" s="39">
        <f t="shared" si="219"/>
        <v>0</v>
      </c>
      <c r="J316" s="39">
        <f t="shared" si="234"/>
        <v>0</v>
      </c>
      <c r="K316" s="2"/>
      <c r="L316" s="187"/>
      <c r="M316" s="2"/>
    </row>
    <row r="317" spans="1:13" x14ac:dyDescent="0.3">
      <c r="A317" s="36" t="s">
        <v>493</v>
      </c>
      <c r="B317" s="37" t="str">
        <f>IFERROR(J317/(J$28+J$59+J$90),"-")</f>
        <v>-</v>
      </c>
      <c r="C317" s="324">
        <v>0</v>
      </c>
      <c r="D317" s="324">
        <v>0</v>
      </c>
      <c r="E317" s="324">
        <v>0</v>
      </c>
      <c r="F317" s="324">
        <v>0</v>
      </c>
      <c r="G317" s="324">
        <v>0</v>
      </c>
      <c r="H317" s="326">
        <v>0</v>
      </c>
      <c r="I317" s="39">
        <f t="shared" si="219"/>
        <v>0</v>
      </c>
      <c r="J317" s="39">
        <f t="shared" si="234"/>
        <v>0</v>
      </c>
      <c r="K317" s="2"/>
      <c r="L317" s="187"/>
      <c r="M317" s="2"/>
    </row>
    <row r="318" spans="1:13" x14ac:dyDescent="0.3">
      <c r="A318" s="59" t="s">
        <v>494</v>
      </c>
      <c r="B318" s="79">
        <f>IFERROR(J318/(J$29+J$60+J$91),"-")</f>
        <v>5.2583423129641321E-3</v>
      </c>
      <c r="C318" s="330">
        <v>0</v>
      </c>
      <c r="D318" s="330">
        <v>0</v>
      </c>
      <c r="E318" s="330">
        <v>0</v>
      </c>
      <c r="F318" s="330">
        <v>185.80921233186388</v>
      </c>
      <c r="G318" s="330">
        <v>657.68145499796378</v>
      </c>
      <c r="H318" s="331">
        <v>1176.8527466472713</v>
      </c>
      <c r="I318" s="229">
        <f t="shared" si="219"/>
        <v>336.72390232951648</v>
      </c>
      <c r="J318" s="229">
        <f t="shared" si="234"/>
        <v>2020.3434139770989</v>
      </c>
      <c r="K318" s="2"/>
      <c r="L318" s="202"/>
      <c r="M318" s="2"/>
    </row>
    <row r="319" spans="1:13" x14ac:dyDescent="0.3">
      <c r="A319" s="116" t="s">
        <v>274</v>
      </c>
      <c r="B319" s="313">
        <f>IFERROR(J319/(J$30+J$61+J$92),"-")</f>
        <v>5.5448405073326407E-2</v>
      </c>
      <c r="C319" s="294">
        <f>SUM(C320:C323)</f>
        <v>31640.947458911731</v>
      </c>
      <c r="D319" s="297">
        <f t="shared" ref="D319:H319" si="236">SUM(D320:D323)</f>
        <v>11575.425696699935</v>
      </c>
      <c r="E319" s="297">
        <f t="shared" si="236"/>
        <v>86029.975651016517</v>
      </c>
      <c r="F319" s="297">
        <f t="shared" si="236"/>
        <v>12748.50863662946</v>
      </c>
      <c r="G319" s="297">
        <f t="shared" si="236"/>
        <v>61281.870237295931</v>
      </c>
      <c r="H319" s="296">
        <f t="shared" si="236"/>
        <v>5221.7467607118579</v>
      </c>
      <c r="I319" s="62">
        <f t="shared" ref="I319:I328" si="237">IFERROR(AVERAGE(C319:H319),0)</f>
        <v>34749.745740210907</v>
      </c>
      <c r="J319" s="62">
        <f>SUM(C319:H319)</f>
        <v>208498.47444126543</v>
      </c>
      <c r="K319" s="2"/>
      <c r="L319" s="187"/>
      <c r="M319" s="2"/>
    </row>
    <row r="320" spans="1:13" x14ac:dyDescent="0.3">
      <c r="A320" s="36" t="s">
        <v>491</v>
      </c>
      <c r="B320" s="37">
        <f>IFERROR(J320/(J$31+J$62+J$93),"-")</f>
        <v>2.7721738746835221E-2</v>
      </c>
      <c r="C320" s="324">
        <v>3577.5511583075527</v>
      </c>
      <c r="D320" s="325">
        <v>7675.3678993072172</v>
      </c>
      <c r="E320" s="325">
        <v>6795.8482943658128</v>
      </c>
      <c r="F320" s="325">
        <v>4499.3730449835639</v>
      </c>
      <c r="G320" s="325">
        <v>3125.2682344690766</v>
      </c>
      <c r="H320" s="326">
        <v>1981.7995586537668</v>
      </c>
      <c r="I320" s="10">
        <f t="shared" si="237"/>
        <v>4609.2013650144982</v>
      </c>
      <c r="J320" s="39">
        <f t="shared" ref="J320:J328" si="238">SUM(C320:H320)</f>
        <v>27655.208190086989</v>
      </c>
      <c r="K320" s="2"/>
      <c r="L320" s="186"/>
      <c r="M320" s="2"/>
    </row>
    <row r="321" spans="1:13" ht="13.15" customHeight="1" x14ac:dyDescent="0.3">
      <c r="A321" s="36" t="s">
        <v>492</v>
      </c>
      <c r="B321" s="37">
        <f>IFERROR(J321/(J$32+J$63+J$94),"-")</f>
        <v>6.5460667086722393E-2</v>
      </c>
      <c r="C321" s="324">
        <v>28063.396300604178</v>
      </c>
      <c r="D321" s="324">
        <v>3900.057797392717</v>
      </c>
      <c r="E321" s="324">
        <v>79234.127356650701</v>
      </c>
      <c r="F321" s="324">
        <v>8249.1355916458961</v>
      </c>
      <c r="G321" s="324">
        <v>58156.602002826854</v>
      </c>
      <c r="H321" s="326">
        <v>3239.9472020580911</v>
      </c>
      <c r="I321" s="39">
        <f t="shared" si="237"/>
        <v>30140.544375196409</v>
      </c>
      <c r="J321" s="39">
        <f t="shared" si="238"/>
        <v>180843.26625117846</v>
      </c>
      <c r="K321" s="2"/>
      <c r="L321" s="187"/>
      <c r="M321" s="2"/>
    </row>
    <row r="322" spans="1:13" x14ac:dyDescent="0.3">
      <c r="A322" s="36" t="s">
        <v>493</v>
      </c>
      <c r="B322" s="37" t="str">
        <f>IFERROR(J322/(J$33+J$64+J$95),"-")</f>
        <v>-</v>
      </c>
      <c r="C322" s="324">
        <v>0</v>
      </c>
      <c r="D322" s="324">
        <v>0</v>
      </c>
      <c r="E322" s="324">
        <v>0</v>
      </c>
      <c r="F322" s="324">
        <v>0</v>
      </c>
      <c r="G322" s="324">
        <v>0</v>
      </c>
      <c r="H322" s="326">
        <v>0</v>
      </c>
      <c r="I322" s="39">
        <f t="shared" si="237"/>
        <v>0</v>
      </c>
      <c r="J322" s="39">
        <f t="shared" si="238"/>
        <v>0</v>
      </c>
      <c r="K322" s="2"/>
      <c r="L322" s="187"/>
      <c r="M322" s="2"/>
    </row>
    <row r="323" spans="1:13" x14ac:dyDescent="0.3">
      <c r="A323" s="36" t="s">
        <v>494</v>
      </c>
      <c r="B323" s="37" t="str">
        <f>IFERROR(J323/(J$34+J$65+J$96),"-")</f>
        <v>-</v>
      </c>
      <c r="C323" s="324">
        <v>0</v>
      </c>
      <c r="D323" s="324">
        <v>0</v>
      </c>
      <c r="E323" s="324">
        <v>0</v>
      </c>
      <c r="F323" s="324">
        <v>0</v>
      </c>
      <c r="G323" s="324">
        <v>0</v>
      </c>
      <c r="H323" s="326">
        <v>0</v>
      </c>
      <c r="I323" s="39">
        <f t="shared" si="237"/>
        <v>0</v>
      </c>
      <c r="J323" s="39">
        <f t="shared" si="238"/>
        <v>0</v>
      </c>
      <c r="K323" s="2"/>
      <c r="L323" s="187"/>
      <c r="M323" s="2"/>
    </row>
    <row r="324" spans="1:13" x14ac:dyDescent="0.3">
      <c r="A324" s="116" t="s">
        <v>462</v>
      </c>
      <c r="B324" s="313" t="str">
        <f>IFERROR(J324/(J$35+J$66+J$97),"-")</f>
        <v>-</v>
      </c>
      <c r="C324" s="294">
        <f>SUM(C325:C328)</f>
        <v>0</v>
      </c>
      <c r="D324" s="297">
        <f t="shared" ref="D324:H324" si="239">SUM(D325:D328)</f>
        <v>0</v>
      </c>
      <c r="E324" s="297">
        <f t="shared" si="239"/>
        <v>0</v>
      </c>
      <c r="F324" s="297">
        <f t="shared" si="239"/>
        <v>0</v>
      </c>
      <c r="G324" s="297">
        <f t="shared" si="239"/>
        <v>0</v>
      </c>
      <c r="H324" s="296">
        <f t="shared" si="239"/>
        <v>0</v>
      </c>
      <c r="I324" s="62">
        <f t="shared" si="237"/>
        <v>0</v>
      </c>
      <c r="J324" s="62">
        <f t="shared" si="238"/>
        <v>0</v>
      </c>
      <c r="K324" s="2"/>
      <c r="L324" s="195"/>
      <c r="M324" s="2"/>
    </row>
    <row r="325" spans="1:13" x14ac:dyDescent="0.3">
      <c r="A325" s="36" t="s">
        <v>491</v>
      </c>
      <c r="B325" s="37" t="str">
        <f>IFERROR(J325/(J$36+J$67+J$98),"-")</f>
        <v>-</v>
      </c>
      <c r="C325" s="324">
        <v>0</v>
      </c>
      <c r="D325" s="324">
        <v>0</v>
      </c>
      <c r="E325" s="324">
        <v>0</v>
      </c>
      <c r="F325" s="324">
        <v>0</v>
      </c>
      <c r="G325" s="324">
        <v>0</v>
      </c>
      <c r="H325" s="326">
        <v>0</v>
      </c>
      <c r="I325" s="39">
        <f t="shared" si="237"/>
        <v>0</v>
      </c>
      <c r="J325" s="39">
        <f t="shared" si="238"/>
        <v>0</v>
      </c>
      <c r="K325" s="2"/>
      <c r="L325" s="187"/>
      <c r="M325" s="2"/>
    </row>
    <row r="326" spans="1:13" x14ac:dyDescent="0.3">
      <c r="A326" s="36" t="s">
        <v>492</v>
      </c>
      <c r="B326" s="37" t="str">
        <f>IFERROR(J326/(J$37+J$68+J$99),"-")</f>
        <v>-</v>
      </c>
      <c r="C326" s="324">
        <v>0</v>
      </c>
      <c r="D326" s="324">
        <v>0</v>
      </c>
      <c r="E326" s="324">
        <v>0</v>
      </c>
      <c r="F326" s="324">
        <v>0</v>
      </c>
      <c r="G326" s="324">
        <v>0</v>
      </c>
      <c r="H326" s="326">
        <v>0</v>
      </c>
      <c r="I326" s="39">
        <f t="shared" si="237"/>
        <v>0</v>
      </c>
      <c r="J326" s="39">
        <f t="shared" si="238"/>
        <v>0</v>
      </c>
      <c r="K326" s="2"/>
      <c r="L326" s="187"/>
      <c r="M326" s="2"/>
    </row>
    <row r="327" spans="1:13" x14ac:dyDescent="0.3">
      <c r="A327" s="36" t="s">
        <v>493</v>
      </c>
      <c r="B327" s="37" t="str">
        <f>IFERROR(J327/(J$38+J$69+J$100),"-")</f>
        <v>-</v>
      </c>
      <c r="C327" s="324">
        <v>0</v>
      </c>
      <c r="D327" s="324">
        <v>0</v>
      </c>
      <c r="E327" s="324">
        <v>0</v>
      </c>
      <c r="F327" s="324">
        <v>0</v>
      </c>
      <c r="G327" s="324">
        <v>0</v>
      </c>
      <c r="H327" s="326">
        <v>0</v>
      </c>
      <c r="I327" s="39">
        <f t="shared" si="237"/>
        <v>0</v>
      </c>
      <c r="J327" s="39">
        <f t="shared" si="238"/>
        <v>0</v>
      </c>
      <c r="K327" s="2"/>
      <c r="L327" s="187"/>
      <c r="M327" s="2"/>
    </row>
    <row r="328" spans="1:13" x14ac:dyDescent="0.3">
      <c r="A328" s="59" t="s">
        <v>494</v>
      </c>
      <c r="B328" s="79" t="str">
        <f>IFERROR(J328/(J$39+J$70+J$101),"-")</f>
        <v>-</v>
      </c>
      <c r="C328" s="330">
        <v>0</v>
      </c>
      <c r="D328" s="330">
        <v>0</v>
      </c>
      <c r="E328" s="330">
        <v>0</v>
      </c>
      <c r="F328" s="330">
        <v>0</v>
      </c>
      <c r="G328" s="330">
        <v>0</v>
      </c>
      <c r="H328" s="331">
        <v>0</v>
      </c>
      <c r="I328" s="229">
        <f t="shared" si="237"/>
        <v>0</v>
      </c>
      <c r="J328" s="229">
        <f t="shared" si="238"/>
        <v>0</v>
      </c>
      <c r="K328" s="2"/>
      <c r="L328" s="202"/>
      <c r="M328" s="2"/>
    </row>
    <row r="329" spans="1:13" x14ac:dyDescent="0.3">
      <c r="A329" s="18" t="s">
        <v>8</v>
      </c>
      <c r="B329" s="164">
        <f>IFERROR(J329/J$102,"-")</f>
        <v>0.87013918380706223</v>
      </c>
      <c r="C329" s="529">
        <f>C143+C174+C205+C236+C267+C298</f>
        <v>7743967.4419241603</v>
      </c>
      <c r="D329" s="530">
        <f t="shared" ref="D329:H329" si="240">D143+D174+D205+D236+D267+D298</f>
        <v>7762826.3771283813</v>
      </c>
      <c r="E329" s="530">
        <f t="shared" si="240"/>
        <v>7664892.7326088538</v>
      </c>
      <c r="F329" s="530">
        <f t="shared" si="240"/>
        <v>7882494.6458492009</v>
      </c>
      <c r="G329" s="530">
        <f t="shared" si="240"/>
        <v>7620924.6077076234</v>
      </c>
      <c r="H329" s="531">
        <f t="shared" si="240"/>
        <v>8168456.0837759431</v>
      </c>
      <c r="I329" s="35">
        <f>IFERROR(AVERAGE(C329:H329),0)</f>
        <v>7807260.3148323605</v>
      </c>
      <c r="J329" s="35">
        <f>SUM(C329:H329)</f>
        <v>46843561.888994165</v>
      </c>
      <c r="K329" s="2"/>
      <c r="L329" s="195"/>
      <c r="M329" s="2"/>
    </row>
    <row r="330" spans="1:13" x14ac:dyDescent="0.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27.65" customHeight="1" x14ac:dyDescent="0.3">
      <c r="A332" s="678" t="s">
        <v>350</v>
      </c>
      <c r="B332" s="678" t="s">
        <v>351</v>
      </c>
      <c r="C332" s="3">
        <f>Annee</f>
        <v>2024</v>
      </c>
      <c r="D332" s="291">
        <f>C332+1</f>
        <v>2025</v>
      </c>
      <c r="E332" s="291">
        <f t="shared" ref="E332:G332" si="241">D332+1</f>
        <v>2026</v>
      </c>
      <c r="F332" s="291">
        <f t="shared" si="241"/>
        <v>2027</v>
      </c>
      <c r="G332" s="291">
        <f t="shared" si="241"/>
        <v>2028</v>
      </c>
      <c r="H332" s="295">
        <f>G332+1</f>
        <v>2029</v>
      </c>
      <c r="I332" s="179" t="s">
        <v>271</v>
      </c>
      <c r="J332" s="4" t="s">
        <v>62</v>
      </c>
      <c r="K332" s="2"/>
      <c r="L332" s="683" t="s">
        <v>305</v>
      </c>
      <c r="M332" s="2"/>
    </row>
    <row r="333" spans="1:13" ht="14.5" customHeight="1" x14ac:dyDescent="0.3">
      <c r="A333" s="679"/>
      <c r="B333" s="679"/>
      <c r="C333" s="77">
        <v>12</v>
      </c>
      <c r="D333" s="77">
        <v>12</v>
      </c>
      <c r="E333" s="77">
        <v>12</v>
      </c>
      <c r="F333" s="77">
        <v>12</v>
      </c>
      <c r="G333" s="77">
        <v>12</v>
      </c>
      <c r="H333" s="77">
        <v>12</v>
      </c>
      <c r="I333" s="78">
        <f t="shared" ref="I333:I434" si="242">IFERROR(AVERAGE(C333:H333),0)</f>
        <v>12</v>
      </c>
      <c r="J333" s="78">
        <f t="shared" ref="J333" si="243">SUM(C333:H333)</f>
        <v>72</v>
      </c>
      <c r="K333" s="2"/>
      <c r="L333" s="699"/>
      <c r="M333" s="2"/>
    </row>
    <row r="334" spans="1:13" x14ac:dyDescent="0.3">
      <c r="A334" s="115" t="s">
        <v>73</v>
      </c>
      <c r="B334" s="53"/>
      <c r="C334" s="223">
        <f>C335+C340+C345+C350+C355+C360</f>
        <v>650601.96721311472</v>
      </c>
      <c r="D334" s="221">
        <f t="shared" ref="D334" si="244">D335+D340+D345+D350+D355+D360</f>
        <v>650561.91780821921</v>
      </c>
      <c r="E334" s="221">
        <f t="shared" ref="E334" si="245">E335+E340+E345+E350+E355+E360</f>
        <v>650541.64383561653</v>
      </c>
      <c r="F334" s="221">
        <f t="shared" ref="F334" si="246">F335+F340+F345+F350+F355+F360</f>
        <v>650468.49315068498</v>
      </c>
      <c r="G334" s="221">
        <f t="shared" ref="G334" si="247">G335+G340+G345+G350+G355+G360</f>
        <v>650500.87431693985</v>
      </c>
      <c r="H334" s="222">
        <f t="shared" ref="H334" si="248">H335+H340+H345+H350+H355+H360</f>
        <v>652635.89041095902</v>
      </c>
      <c r="I334" s="301">
        <f t="shared" si="242"/>
        <v>650885.13112258911</v>
      </c>
      <c r="J334" s="301">
        <f>SUM(C334:H334)</f>
        <v>3905310.7867355347</v>
      </c>
      <c r="K334" s="2"/>
      <c r="L334" s="494" t="s">
        <v>310</v>
      </c>
      <c r="M334" s="2"/>
    </row>
    <row r="335" spans="1:13" x14ac:dyDescent="0.3">
      <c r="A335" s="116" t="s">
        <v>273</v>
      </c>
      <c r="B335" s="313">
        <f>IFERROR(J335/J$106,"-")</f>
        <v>3554.0482262799314</v>
      </c>
      <c r="C335" s="294">
        <f>SUM(C336:C339)</f>
        <v>392381.96721311472</v>
      </c>
      <c r="D335" s="297">
        <f t="shared" ref="D335" si="249">SUM(D336:D339)</f>
        <v>392341.91780821921</v>
      </c>
      <c r="E335" s="297">
        <f t="shared" ref="E335" si="250">SUM(E336:E339)</f>
        <v>392321.64383561653</v>
      </c>
      <c r="F335" s="297">
        <f t="shared" ref="F335" si="251">SUM(F336:F339)</f>
        <v>392230.41095890407</v>
      </c>
      <c r="G335" s="297">
        <f t="shared" ref="G335" si="252">SUM(G336:G339)</f>
        <v>392280.87431693991</v>
      </c>
      <c r="H335" s="296">
        <f t="shared" ref="H335" si="253">SUM(H336:H339)</f>
        <v>394409.86301369866</v>
      </c>
      <c r="I335" s="62">
        <f t="shared" si="242"/>
        <v>392661.11285774881</v>
      </c>
      <c r="J335" s="62">
        <f>SUM(C335:H335)</f>
        <v>2355966.677146493</v>
      </c>
      <c r="K335" s="2"/>
      <c r="L335" s="187"/>
      <c r="M335" s="2"/>
    </row>
    <row r="336" spans="1:13" x14ac:dyDescent="0.3">
      <c r="A336" s="36" t="s">
        <v>491</v>
      </c>
      <c r="B336" s="307">
        <f>IFERROR(J336/J$107,"-")</f>
        <v>2743.5585385715258</v>
      </c>
      <c r="C336" s="324">
        <v>176022.95081967214</v>
      </c>
      <c r="D336" s="325">
        <v>122941.36986301371</v>
      </c>
      <c r="E336" s="325">
        <v>92489.863013698632</v>
      </c>
      <c r="F336" s="325">
        <v>67522.465753424651</v>
      </c>
      <c r="G336" s="325">
        <v>45673.770491803283</v>
      </c>
      <c r="H336" s="326">
        <v>24663.287671232876</v>
      </c>
      <c r="I336" s="10">
        <f t="shared" si="242"/>
        <v>88218.951268807534</v>
      </c>
      <c r="J336" s="39">
        <f t="shared" ref="J336:J344" si="254">SUM(C336:H336)</f>
        <v>529313.70761284523</v>
      </c>
      <c r="K336" s="2"/>
      <c r="L336" s="186"/>
      <c r="M336" s="2"/>
    </row>
    <row r="337" spans="1:13" ht="13.15" customHeight="1" x14ac:dyDescent="0.3">
      <c r="A337" s="36" t="s">
        <v>492</v>
      </c>
      <c r="B337" s="307">
        <f>IFERROR(J337/J$108,"-")</f>
        <v>3700</v>
      </c>
      <c r="C337" s="324">
        <v>133200</v>
      </c>
      <c r="D337" s="324">
        <v>133200</v>
      </c>
      <c r="E337" s="324">
        <v>133200</v>
      </c>
      <c r="F337" s="324">
        <v>133200</v>
      </c>
      <c r="G337" s="324">
        <v>133200</v>
      </c>
      <c r="H337" s="326">
        <v>133200</v>
      </c>
      <c r="I337" s="39">
        <f t="shared" si="242"/>
        <v>133200</v>
      </c>
      <c r="J337" s="39">
        <f t="shared" si="254"/>
        <v>799200</v>
      </c>
      <c r="K337" s="2"/>
      <c r="L337" s="187"/>
      <c r="M337" s="2"/>
    </row>
    <row r="338" spans="1:13" x14ac:dyDescent="0.3">
      <c r="A338" s="36" t="s">
        <v>493</v>
      </c>
      <c r="B338" s="307">
        <f>IFERROR(J338/J$109,"-")</f>
        <v>3069.106481520897</v>
      </c>
      <c r="C338" s="324">
        <v>22200</v>
      </c>
      <c r="D338" s="324">
        <v>22200</v>
      </c>
      <c r="E338" s="324">
        <v>22200</v>
      </c>
      <c r="F338" s="324">
        <v>28707.945205479453</v>
      </c>
      <c r="G338" s="324">
        <v>33300</v>
      </c>
      <c r="H338" s="326">
        <v>33300</v>
      </c>
      <c r="I338" s="39">
        <f t="shared" si="242"/>
        <v>26984.657534246577</v>
      </c>
      <c r="J338" s="39">
        <f t="shared" si="254"/>
        <v>161907.94520547945</v>
      </c>
      <c r="K338" s="2"/>
      <c r="L338" s="187"/>
      <c r="M338" s="2"/>
    </row>
    <row r="339" spans="1:13" x14ac:dyDescent="0.3">
      <c r="A339" s="36" t="s">
        <v>494</v>
      </c>
      <c r="B339" s="307">
        <f>IFERROR(J339/J$110,"-")</f>
        <v>4301.6370885812794</v>
      </c>
      <c r="C339" s="324">
        <v>60959.016393442609</v>
      </c>
      <c r="D339" s="324">
        <v>114000.54794520546</v>
      </c>
      <c r="E339" s="324">
        <v>144431.7808219179</v>
      </c>
      <c r="F339" s="324">
        <v>162800</v>
      </c>
      <c r="G339" s="324">
        <v>180107.10382513661</v>
      </c>
      <c r="H339" s="326">
        <v>203246.57534246577</v>
      </c>
      <c r="I339" s="39">
        <f t="shared" si="242"/>
        <v>144257.50405469473</v>
      </c>
      <c r="J339" s="39">
        <f t="shared" si="254"/>
        <v>865545.02432816837</v>
      </c>
      <c r="K339" s="2"/>
      <c r="L339" s="187"/>
      <c r="M339" s="2"/>
    </row>
    <row r="340" spans="1:13" x14ac:dyDescent="0.3">
      <c r="A340" s="116" t="s">
        <v>495</v>
      </c>
      <c r="B340" s="313">
        <f>IFERROR(J340/J$111,"-")</f>
        <v>5300</v>
      </c>
      <c r="C340" s="294">
        <f>SUM(C341:C344)</f>
        <v>217300</v>
      </c>
      <c r="D340" s="297">
        <f t="shared" ref="D340" si="255">SUM(D341:D344)</f>
        <v>217300</v>
      </c>
      <c r="E340" s="297">
        <f t="shared" ref="E340" si="256">SUM(E341:E344)</f>
        <v>217300</v>
      </c>
      <c r="F340" s="297">
        <f t="shared" ref="F340" si="257">SUM(F341:F344)</f>
        <v>217300</v>
      </c>
      <c r="G340" s="297">
        <f t="shared" ref="G340" si="258">SUM(G341:G344)</f>
        <v>217300</v>
      </c>
      <c r="H340" s="296">
        <f t="shared" ref="H340" si="259">SUM(H341:H344)</f>
        <v>217300</v>
      </c>
      <c r="I340" s="62">
        <f t="shared" si="242"/>
        <v>217300</v>
      </c>
      <c r="J340" s="62">
        <f t="shared" si="254"/>
        <v>1303800</v>
      </c>
      <c r="K340" s="2"/>
      <c r="L340" s="195"/>
      <c r="M340" s="2"/>
    </row>
    <row r="341" spans="1:13" x14ac:dyDescent="0.3">
      <c r="A341" s="36" t="s">
        <v>491</v>
      </c>
      <c r="B341" s="307" t="str">
        <f>IFERROR(J341/J$112,"-")</f>
        <v>-</v>
      </c>
      <c r="C341" s="324">
        <v>0</v>
      </c>
      <c r="D341" s="324">
        <v>0</v>
      </c>
      <c r="E341" s="324">
        <v>0</v>
      </c>
      <c r="F341" s="324">
        <v>0</v>
      </c>
      <c r="G341" s="324">
        <v>0</v>
      </c>
      <c r="H341" s="326">
        <v>0</v>
      </c>
      <c r="I341" s="39">
        <f t="shared" si="242"/>
        <v>0</v>
      </c>
      <c r="J341" s="39">
        <f t="shared" si="254"/>
        <v>0</v>
      </c>
      <c r="K341" s="2"/>
      <c r="L341" s="187"/>
      <c r="M341" s="2"/>
    </row>
    <row r="342" spans="1:13" x14ac:dyDescent="0.3">
      <c r="A342" s="36" t="s">
        <v>492</v>
      </c>
      <c r="B342" s="307">
        <f>IFERROR(J342/J$113,"-")</f>
        <v>5300</v>
      </c>
      <c r="C342" s="324">
        <v>217300</v>
      </c>
      <c r="D342" s="324">
        <v>217300</v>
      </c>
      <c r="E342" s="324">
        <v>217300</v>
      </c>
      <c r="F342" s="324">
        <v>217300</v>
      </c>
      <c r="G342" s="324">
        <v>217300</v>
      </c>
      <c r="H342" s="326">
        <v>217300</v>
      </c>
      <c r="I342" s="39">
        <f t="shared" ref="I342" si="260">IFERROR(AVERAGE(C342:H342),0)</f>
        <v>217300</v>
      </c>
      <c r="J342" s="39">
        <f t="shared" ref="J342" si="261">SUM(C342:H342)</f>
        <v>1303800</v>
      </c>
      <c r="K342" s="2"/>
      <c r="L342" s="187"/>
      <c r="M342" s="2"/>
    </row>
    <row r="343" spans="1:13" x14ac:dyDescent="0.3">
      <c r="A343" s="36" t="s">
        <v>493</v>
      </c>
      <c r="B343" s="307" t="str">
        <f>IFERROR(J343/J$114,"-")</f>
        <v>-</v>
      </c>
      <c r="C343" s="324">
        <v>0</v>
      </c>
      <c r="D343" s="324">
        <v>0</v>
      </c>
      <c r="E343" s="324">
        <v>0</v>
      </c>
      <c r="F343" s="324">
        <v>0</v>
      </c>
      <c r="G343" s="324">
        <v>0</v>
      </c>
      <c r="H343" s="326">
        <v>0</v>
      </c>
      <c r="I343" s="39">
        <f t="shared" si="242"/>
        <v>0</v>
      </c>
      <c r="J343" s="39">
        <f t="shared" si="254"/>
        <v>0</v>
      </c>
      <c r="K343" s="2"/>
      <c r="L343" s="187"/>
      <c r="M343" s="2"/>
    </row>
    <row r="344" spans="1:13" x14ac:dyDescent="0.3">
      <c r="A344" s="59" t="s">
        <v>494</v>
      </c>
      <c r="B344" s="498" t="str">
        <f>IFERROR(J344/J$115,"-")</f>
        <v>-</v>
      </c>
      <c r="C344" s="330">
        <v>0</v>
      </c>
      <c r="D344" s="330">
        <v>0</v>
      </c>
      <c r="E344" s="330">
        <v>0</v>
      </c>
      <c r="F344" s="330">
        <v>0</v>
      </c>
      <c r="G344" s="330">
        <v>0</v>
      </c>
      <c r="H344" s="331">
        <v>0</v>
      </c>
      <c r="I344" s="229">
        <f t="shared" si="242"/>
        <v>0</v>
      </c>
      <c r="J344" s="229">
        <f t="shared" si="254"/>
        <v>0</v>
      </c>
      <c r="K344" s="2"/>
      <c r="L344" s="202"/>
      <c r="M344" s="2"/>
    </row>
    <row r="345" spans="1:13" x14ac:dyDescent="0.3">
      <c r="A345" s="116" t="s">
        <v>496</v>
      </c>
      <c r="B345" s="313" t="str">
        <f>IFERROR(J345/J$116,"-")</f>
        <v>-</v>
      </c>
      <c r="C345" s="294">
        <f>SUM(C346:C349)</f>
        <v>0</v>
      </c>
      <c r="D345" s="297">
        <f t="shared" ref="D345:H345" si="262">SUM(D346:D349)</f>
        <v>0</v>
      </c>
      <c r="E345" s="297">
        <f t="shared" si="262"/>
        <v>0</v>
      </c>
      <c r="F345" s="297">
        <f t="shared" si="262"/>
        <v>0</v>
      </c>
      <c r="G345" s="297">
        <f t="shared" si="262"/>
        <v>0</v>
      </c>
      <c r="H345" s="296">
        <f t="shared" si="262"/>
        <v>0</v>
      </c>
      <c r="I345" s="62">
        <f t="shared" si="242"/>
        <v>0</v>
      </c>
      <c r="J345" s="62">
        <f>SUM(C345:H345)</f>
        <v>0</v>
      </c>
      <c r="K345" s="2"/>
      <c r="L345" s="187"/>
      <c r="M345" s="2"/>
    </row>
    <row r="346" spans="1:13" x14ac:dyDescent="0.3">
      <c r="A346" s="36" t="s">
        <v>491</v>
      </c>
      <c r="B346" s="307" t="str">
        <f>IFERROR(J346/J$117,"-")</f>
        <v>-</v>
      </c>
      <c r="C346" s="324">
        <v>0</v>
      </c>
      <c r="D346" s="325">
        <v>0</v>
      </c>
      <c r="E346" s="325">
        <v>0</v>
      </c>
      <c r="F346" s="325">
        <v>0</v>
      </c>
      <c r="G346" s="325">
        <v>0</v>
      </c>
      <c r="H346" s="326">
        <v>0</v>
      </c>
      <c r="I346" s="10">
        <f t="shared" si="242"/>
        <v>0</v>
      </c>
      <c r="J346" s="39">
        <f t="shared" ref="J346:J354" si="263">SUM(C346:H346)</f>
        <v>0</v>
      </c>
      <c r="K346" s="2"/>
      <c r="L346" s="186"/>
      <c r="M346" s="2"/>
    </row>
    <row r="347" spans="1:13" ht="13.15" customHeight="1" x14ac:dyDescent="0.3">
      <c r="A347" s="36" t="s">
        <v>492</v>
      </c>
      <c r="B347" s="307" t="str">
        <f>IFERROR(J347/J$118,"-")</f>
        <v>-</v>
      </c>
      <c r="C347" s="324">
        <v>0</v>
      </c>
      <c r="D347" s="324">
        <v>0</v>
      </c>
      <c r="E347" s="324">
        <v>0</v>
      </c>
      <c r="F347" s="324">
        <v>0</v>
      </c>
      <c r="G347" s="324">
        <v>0</v>
      </c>
      <c r="H347" s="326">
        <v>0</v>
      </c>
      <c r="I347" s="39">
        <f t="shared" si="242"/>
        <v>0</v>
      </c>
      <c r="J347" s="39">
        <f t="shared" si="263"/>
        <v>0</v>
      </c>
      <c r="K347" s="2"/>
      <c r="L347" s="187"/>
      <c r="M347" s="2"/>
    </row>
    <row r="348" spans="1:13" x14ac:dyDescent="0.3">
      <c r="A348" s="36" t="s">
        <v>493</v>
      </c>
      <c r="B348" s="307" t="str">
        <f>IFERROR(J348/J$119,"-")</f>
        <v>-</v>
      </c>
      <c r="C348" s="324">
        <v>0</v>
      </c>
      <c r="D348" s="324">
        <v>0</v>
      </c>
      <c r="E348" s="324">
        <v>0</v>
      </c>
      <c r="F348" s="324">
        <v>0</v>
      </c>
      <c r="G348" s="324">
        <v>0</v>
      </c>
      <c r="H348" s="326">
        <v>0</v>
      </c>
      <c r="I348" s="39">
        <f t="shared" si="242"/>
        <v>0</v>
      </c>
      <c r="J348" s="39">
        <f t="shared" si="263"/>
        <v>0</v>
      </c>
      <c r="K348" s="2"/>
      <c r="L348" s="187"/>
      <c r="M348" s="2"/>
    </row>
    <row r="349" spans="1:13" x14ac:dyDescent="0.3">
      <c r="A349" s="36" t="s">
        <v>494</v>
      </c>
      <c r="B349" s="307" t="str">
        <f>IFERROR(J349/J$120,"-")</f>
        <v>-</v>
      </c>
      <c r="C349" s="324">
        <v>0</v>
      </c>
      <c r="D349" s="324">
        <v>0</v>
      </c>
      <c r="E349" s="324">
        <v>0</v>
      </c>
      <c r="F349" s="324">
        <v>0</v>
      </c>
      <c r="G349" s="324">
        <v>0</v>
      </c>
      <c r="H349" s="326">
        <v>0</v>
      </c>
      <c r="I349" s="39">
        <f t="shared" si="242"/>
        <v>0</v>
      </c>
      <c r="J349" s="39">
        <f t="shared" si="263"/>
        <v>0</v>
      </c>
      <c r="K349" s="2"/>
      <c r="L349" s="187"/>
      <c r="M349" s="2"/>
    </row>
    <row r="350" spans="1:13" x14ac:dyDescent="0.3">
      <c r="A350" s="116" t="s">
        <v>272</v>
      </c>
      <c r="B350" s="313">
        <f>IFERROR(J350/J$121,"-")</f>
        <v>931.10439651122908</v>
      </c>
      <c r="C350" s="294">
        <f>SUM(C351:C354)</f>
        <v>7920</v>
      </c>
      <c r="D350" s="297">
        <f t="shared" ref="D350:H350" si="264">SUM(D351:D354)</f>
        <v>7920</v>
      </c>
      <c r="E350" s="297">
        <f t="shared" si="264"/>
        <v>7920</v>
      </c>
      <c r="F350" s="297">
        <f t="shared" si="264"/>
        <v>11789.589041095891</v>
      </c>
      <c r="G350" s="297">
        <f t="shared" si="264"/>
        <v>14520</v>
      </c>
      <c r="H350" s="296">
        <f t="shared" si="264"/>
        <v>15809.86301369863</v>
      </c>
      <c r="I350" s="62">
        <f t="shared" si="242"/>
        <v>10979.908675799086</v>
      </c>
      <c r="J350" s="62">
        <f t="shared" si="263"/>
        <v>65879.452054794514</v>
      </c>
      <c r="K350" s="2"/>
      <c r="L350" s="195"/>
      <c r="M350" s="2"/>
    </row>
    <row r="351" spans="1:13" x14ac:dyDescent="0.3">
      <c r="A351" s="36" t="s">
        <v>491</v>
      </c>
      <c r="B351" s="307">
        <f>IFERROR(J351/J$122,"-")</f>
        <v>720</v>
      </c>
      <c r="C351" s="324">
        <v>7920</v>
      </c>
      <c r="D351" s="324">
        <v>7920</v>
      </c>
      <c r="E351" s="324">
        <v>7920</v>
      </c>
      <c r="F351" s="324">
        <v>7920</v>
      </c>
      <c r="G351" s="324">
        <v>7920</v>
      </c>
      <c r="H351" s="326">
        <v>7920</v>
      </c>
      <c r="I351" s="39">
        <f t="shared" si="242"/>
        <v>7920</v>
      </c>
      <c r="J351" s="39">
        <f t="shared" si="263"/>
        <v>47520</v>
      </c>
      <c r="K351" s="2"/>
      <c r="L351" s="187"/>
      <c r="M351" s="2"/>
    </row>
    <row r="352" spans="1:13" x14ac:dyDescent="0.3">
      <c r="A352" s="36" t="s">
        <v>492</v>
      </c>
      <c r="B352" s="307" t="str">
        <f>IFERROR(J352/J$123,"-")</f>
        <v>-</v>
      </c>
      <c r="C352" s="324">
        <v>0</v>
      </c>
      <c r="D352" s="324">
        <v>0</v>
      </c>
      <c r="E352" s="324">
        <v>0</v>
      </c>
      <c r="F352" s="324">
        <v>0</v>
      </c>
      <c r="G352" s="324">
        <v>0</v>
      </c>
      <c r="H352" s="326">
        <v>0</v>
      </c>
      <c r="I352" s="39">
        <f t="shared" si="242"/>
        <v>0</v>
      </c>
      <c r="J352" s="39">
        <f t="shared" si="263"/>
        <v>0</v>
      </c>
      <c r="K352" s="2"/>
      <c r="L352" s="187"/>
      <c r="M352" s="2"/>
    </row>
    <row r="353" spans="1:13" x14ac:dyDescent="0.3">
      <c r="A353" s="36" t="s">
        <v>493</v>
      </c>
      <c r="B353" s="307" t="str">
        <f>IFERROR(J353/J$124,"-")</f>
        <v>-</v>
      </c>
      <c r="C353" s="324">
        <v>0</v>
      </c>
      <c r="D353" s="324">
        <v>0</v>
      </c>
      <c r="E353" s="324">
        <v>0</v>
      </c>
      <c r="F353" s="324">
        <v>0</v>
      </c>
      <c r="G353" s="324">
        <v>0</v>
      </c>
      <c r="H353" s="326">
        <v>0</v>
      </c>
      <c r="I353" s="39">
        <f t="shared" si="242"/>
        <v>0</v>
      </c>
      <c r="J353" s="39">
        <f t="shared" si="263"/>
        <v>0</v>
      </c>
      <c r="K353" s="2"/>
      <c r="L353" s="187"/>
      <c r="M353" s="2"/>
    </row>
    <row r="354" spans="1:13" x14ac:dyDescent="0.3">
      <c r="A354" s="59" t="s">
        <v>494</v>
      </c>
      <c r="B354" s="498">
        <f>IFERROR(J354/J$125,"-")</f>
        <v>3861.8157770429857</v>
      </c>
      <c r="C354" s="330">
        <v>0</v>
      </c>
      <c r="D354" s="330">
        <v>0</v>
      </c>
      <c r="E354" s="330">
        <v>0</v>
      </c>
      <c r="F354" s="330">
        <v>3869.5890410958905</v>
      </c>
      <c r="G354" s="330">
        <v>6600</v>
      </c>
      <c r="H354" s="331">
        <v>7889.8630136986303</v>
      </c>
      <c r="I354" s="229">
        <f t="shared" si="242"/>
        <v>3059.9086757990867</v>
      </c>
      <c r="J354" s="229">
        <f t="shared" si="263"/>
        <v>18359.452054794521</v>
      </c>
      <c r="K354" s="2"/>
      <c r="L354" s="202"/>
      <c r="M354" s="2"/>
    </row>
    <row r="355" spans="1:13" x14ac:dyDescent="0.3">
      <c r="A355" s="116" t="s">
        <v>274</v>
      </c>
      <c r="B355" s="313">
        <f>IFERROR(J355/J$126,"-")</f>
        <v>2107.4020016515801</v>
      </c>
      <c r="C355" s="294">
        <f>SUM(C356:C359)</f>
        <v>33000</v>
      </c>
      <c r="D355" s="297">
        <f t="shared" ref="D355:H355" si="265">SUM(D356:D359)</f>
        <v>33000</v>
      </c>
      <c r="E355" s="297">
        <f t="shared" si="265"/>
        <v>33000</v>
      </c>
      <c r="F355" s="297">
        <f t="shared" si="265"/>
        <v>29148.493150684932</v>
      </c>
      <c r="G355" s="297">
        <f t="shared" si="265"/>
        <v>26400</v>
      </c>
      <c r="H355" s="296">
        <f t="shared" si="265"/>
        <v>25116.164383561645</v>
      </c>
      <c r="I355" s="62">
        <f t="shared" ref="I355:I364" si="266">IFERROR(AVERAGE(C355:H355),0)</f>
        <v>29944.109589041094</v>
      </c>
      <c r="J355" s="62">
        <f>SUM(C355:H355)</f>
        <v>179664.65753424657</v>
      </c>
      <c r="K355" s="2"/>
      <c r="L355" s="187"/>
      <c r="M355" s="2"/>
    </row>
    <row r="356" spans="1:13" x14ac:dyDescent="0.3">
      <c r="A356" s="36" t="s">
        <v>491</v>
      </c>
      <c r="B356" s="307">
        <f>IFERROR(J356/J$127,"-")</f>
        <v>1887.4028624401433</v>
      </c>
      <c r="C356" s="324">
        <v>11000</v>
      </c>
      <c r="D356" s="325">
        <v>11000</v>
      </c>
      <c r="E356" s="325">
        <v>11000</v>
      </c>
      <c r="F356" s="325">
        <v>7148.4931506849316</v>
      </c>
      <c r="G356" s="325">
        <v>4400</v>
      </c>
      <c r="H356" s="326">
        <v>3116.1643835616442</v>
      </c>
      <c r="I356" s="10">
        <f t="shared" si="266"/>
        <v>7944.1095890410952</v>
      </c>
      <c r="J356" s="39">
        <f t="shared" ref="J356:J364" si="267">SUM(C356:H356)</f>
        <v>47664.657534246573</v>
      </c>
      <c r="K356" s="2"/>
      <c r="L356" s="186"/>
      <c r="M356" s="2"/>
    </row>
    <row r="357" spans="1:13" ht="13.15" customHeight="1" x14ac:dyDescent="0.3">
      <c r="A357" s="36" t="s">
        <v>492</v>
      </c>
      <c r="B357" s="307">
        <f>IFERROR(J357/J$128,"-")</f>
        <v>2200</v>
      </c>
      <c r="C357" s="324">
        <v>22000</v>
      </c>
      <c r="D357" s="324">
        <v>22000</v>
      </c>
      <c r="E357" s="324">
        <v>22000</v>
      </c>
      <c r="F357" s="324">
        <v>22000</v>
      </c>
      <c r="G357" s="324">
        <v>22000</v>
      </c>
      <c r="H357" s="326">
        <v>22000</v>
      </c>
      <c r="I357" s="39">
        <f t="shared" si="266"/>
        <v>22000</v>
      </c>
      <c r="J357" s="39">
        <f t="shared" si="267"/>
        <v>132000</v>
      </c>
      <c r="K357" s="2"/>
      <c r="L357" s="187"/>
      <c r="M357" s="2"/>
    </row>
    <row r="358" spans="1:13" x14ac:dyDescent="0.3">
      <c r="A358" s="36" t="s">
        <v>493</v>
      </c>
      <c r="B358" s="307" t="str">
        <f>IFERROR(J358/J$129,"-")</f>
        <v>-</v>
      </c>
      <c r="C358" s="324">
        <v>0</v>
      </c>
      <c r="D358" s="324">
        <v>0</v>
      </c>
      <c r="E358" s="324">
        <v>0</v>
      </c>
      <c r="F358" s="324">
        <v>0</v>
      </c>
      <c r="G358" s="324">
        <v>0</v>
      </c>
      <c r="H358" s="326">
        <v>0</v>
      </c>
      <c r="I358" s="39">
        <f t="shared" si="266"/>
        <v>0</v>
      </c>
      <c r="J358" s="39">
        <f t="shared" si="267"/>
        <v>0</v>
      </c>
      <c r="K358" s="2"/>
      <c r="L358" s="187"/>
      <c r="M358" s="2"/>
    </row>
    <row r="359" spans="1:13" x14ac:dyDescent="0.3">
      <c r="A359" s="36" t="s">
        <v>494</v>
      </c>
      <c r="B359" s="307" t="str">
        <f>IFERROR(J359/J$130,"-")</f>
        <v>-</v>
      </c>
      <c r="C359" s="324">
        <v>0</v>
      </c>
      <c r="D359" s="324">
        <v>0</v>
      </c>
      <c r="E359" s="324">
        <v>0</v>
      </c>
      <c r="F359" s="324">
        <v>0</v>
      </c>
      <c r="G359" s="324">
        <v>0</v>
      </c>
      <c r="H359" s="326">
        <v>0</v>
      </c>
      <c r="I359" s="39">
        <f t="shared" si="266"/>
        <v>0</v>
      </c>
      <c r="J359" s="39">
        <f t="shared" si="267"/>
        <v>0</v>
      </c>
      <c r="K359" s="2"/>
      <c r="L359" s="187"/>
      <c r="M359" s="2"/>
    </row>
    <row r="360" spans="1:13" x14ac:dyDescent="0.3">
      <c r="A360" s="116" t="s">
        <v>462</v>
      </c>
      <c r="B360" s="313" t="str">
        <f>IFERROR(J360/J$131,"-")</f>
        <v>-</v>
      </c>
      <c r="C360" s="294">
        <f>SUM(C361:C364)</f>
        <v>0</v>
      </c>
      <c r="D360" s="297">
        <f t="shared" ref="D360:H360" si="268">SUM(D361:D364)</f>
        <v>0</v>
      </c>
      <c r="E360" s="297">
        <f t="shared" si="268"/>
        <v>0</v>
      </c>
      <c r="F360" s="297">
        <f t="shared" si="268"/>
        <v>0</v>
      </c>
      <c r="G360" s="297">
        <f t="shared" si="268"/>
        <v>0</v>
      </c>
      <c r="H360" s="296">
        <f t="shared" si="268"/>
        <v>0</v>
      </c>
      <c r="I360" s="62">
        <f t="shared" si="266"/>
        <v>0</v>
      </c>
      <c r="J360" s="62">
        <f t="shared" si="267"/>
        <v>0</v>
      </c>
      <c r="K360" s="2"/>
      <c r="L360" s="195"/>
      <c r="M360" s="2"/>
    </row>
    <row r="361" spans="1:13" x14ac:dyDescent="0.3">
      <c r="A361" s="36" t="s">
        <v>491</v>
      </c>
      <c r="B361" s="307" t="str">
        <f>IFERROR(J361/J$132,"-")</f>
        <v>-</v>
      </c>
      <c r="C361" s="324">
        <v>0</v>
      </c>
      <c r="D361" s="324">
        <v>0</v>
      </c>
      <c r="E361" s="324">
        <v>0</v>
      </c>
      <c r="F361" s="324">
        <v>0</v>
      </c>
      <c r="G361" s="324">
        <v>0</v>
      </c>
      <c r="H361" s="326">
        <v>0</v>
      </c>
      <c r="I361" s="39">
        <f t="shared" si="266"/>
        <v>0</v>
      </c>
      <c r="J361" s="39">
        <f t="shared" si="267"/>
        <v>0</v>
      </c>
      <c r="K361" s="2"/>
      <c r="L361" s="187"/>
      <c r="M361" s="2"/>
    </row>
    <row r="362" spans="1:13" x14ac:dyDescent="0.3">
      <c r="A362" s="36" t="s">
        <v>492</v>
      </c>
      <c r="B362" s="307" t="str">
        <f>IFERROR(J362/J$133,"-")</f>
        <v>-</v>
      </c>
      <c r="C362" s="324">
        <v>0</v>
      </c>
      <c r="D362" s="324">
        <v>0</v>
      </c>
      <c r="E362" s="324">
        <v>0</v>
      </c>
      <c r="F362" s="324">
        <v>0</v>
      </c>
      <c r="G362" s="324">
        <v>0</v>
      </c>
      <c r="H362" s="326">
        <v>0</v>
      </c>
      <c r="I362" s="39">
        <f t="shared" si="266"/>
        <v>0</v>
      </c>
      <c r="J362" s="39">
        <f t="shared" si="267"/>
        <v>0</v>
      </c>
      <c r="K362" s="2"/>
      <c r="L362" s="187"/>
      <c r="M362" s="2"/>
    </row>
    <row r="363" spans="1:13" x14ac:dyDescent="0.3">
      <c r="A363" s="36" t="s">
        <v>493</v>
      </c>
      <c r="B363" s="307" t="str">
        <f>IFERROR(J363/J$134,"-")</f>
        <v>-</v>
      </c>
      <c r="C363" s="324">
        <v>0</v>
      </c>
      <c r="D363" s="324">
        <v>0</v>
      </c>
      <c r="E363" s="324">
        <v>0</v>
      </c>
      <c r="F363" s="324">
        <v>0</v>
      </c>
      <c r="G363" s="324">
        <v>0</v>
      </c>
      <c r="H363" s="326">
        <v>0</v>
      </c>
      <c r="I363" s="39">
        <f t="shared" si="266"/>
        <v>0</v>
      </c>
      <c r="J363" s="39">
        <f t="shared" si="267"/>
        <v>0</v>
      </c>
      <c r="K363" s="2"/>
      <c r="L363" s="187"/>
      <c r="M363" s="2"/>
    </row>
    <row r="364" spans="1:13" x14ac:dyDescent="0.3">
      <c r="A364" s="59" t="s">
        <v>494</v>
      </c>
      <c r="B364" s="498" t="str">
        <f>IFERROR(J364/J$135,"-")</f>
        <v>-</v>
      </c>
      <c r="C364" s="330">
        <v>0</v>
      </c>
      <c r="D364" s="330">
        <v>0</v>
      </c>
      <c r="E364" s="330">
        <v>0</v>
      </c>
      <c r="F364" s="330">
        <v>0</v>
      </c>
      <c r="G364" s="330">
        <v>0</v>
      </c>
      <c r="H364" s="331">
        <v>0</v>
      </c>
      <c r="I364" s="229">
        <f t="shared" si="266"/>
        <v>0</v>
      </c>
      <c r="J364" s="229">
        <f t="shared" si="267"/>
        <v>0</v>
      </c>
      <c r="K364" s="2"/>
      <c r="L364" s="202"/>
      <c r="M364" s="2"/>
    </row>
    <row r="365" spans="1:13" x14ac:dyDescent="0.3">
      <c r="A365" s="115" t="s">
        <v>75</v>
      </c>
      <c r="B365" s="53"/>
      <c r="C365" s="223">
        <f>C366+C371+C376+C381+C386+C391</f>
        <v>0</v>
      </c>
      <c r="D365" s="221">
        <f t="shared" ref="D365" si="269">D366+D371+D376+D381+D386+D391</f>
        <v>0</v>
      </c>
      <c r="E365" s="221">
        <f t="shared" ref="E365" si="270">E366+E371+E376+E381+E386+E391</f>
        <v>0</v>
      </c>
      <c r="F365" s="221">
        <f t="shared" ref="F365" si="271">F366+F371+F376+F381+F386+F391</f>
        <v>0</v>
      </c>
      <c r="G365" s="221">
        <f t="shared" ref="G365" si="272">G366+G371+G376+G381+G386+G391</f>
        <v>0</v>
      </c>
      <c r="H365" s="222">
        <f t="shared" ref="H365" si="273">H366+H371+H376+H381+H386+H391</f>
        <v>0</v>
      </c>
      <c r="I365" s="301">
        <f t="shared" si="242"/>
        <v>0</v>
      </c>
      <c r="J365" s="301">
        <f>SUM(C365:H365)</f>
        <v>0</v>
      </c>
      <c r="K365" s="2"/>
      <c r="L365" s="494" t="s">
        <v>310</v>
      </c>
      <c r="M365" s="2"/>
    </row>
    <row r="366" spans="1:13" x14ac:dyDescent="0.3">
      <c r="A366" s="116" t="s">
        <v>273</v>
      </c>
      <c r="B366" s="313">
        <f>IFERROR(J366/J$106,"-")</f>
        <v>0</v>
      </c>
      <c r="C366" s="294">
        <f>SUM(C367:C370)</f>
        <v>0</v>
      </c>
      <c r="D366" s="297">
        <f t="shared" ref="D366" si="274">SUM(D367:D370)</f>
        <v>0</v>
      </c>
      <c r="E366" s="297">
        <f t="shared" ref="E366" si="275">SUM(E367:E370)</f>
        <v>0</v>
      </c>
      <c r="F366" s="297">
        <f t="shared" ref="F366" si="276">SUM(F367:F370)</f>
        <v>0</v>
      </c>
      <c r="G366" s="297">
        <f t="shared" ref="G366" si="277">SUM(G367:G370)</f>
        <v>0</v>
      </c>
      <c r="H366" s="296">
        <f t="shared" ref="H366" si="278">SUM(H367:H370)</f>
        <v>0</v>
      </c>
      <c r="I366" s="62">
        <f t="shared" si="242"/>
        <v>0</v>
      </c>
      <c r="J366" s="62">
        <f>SUM(C366:H366)</f>
        <v>0</v>
      </c>
      <c r="K366" s="2"/>
      <c r="L366" s="187"/>
      <c r="M366" s="2"/>
    </row>
    <row r="367" spans="1:13" x14ac:dyDescent="0.3">
      <c r="A367" s="36" t="s">
        <v>491</v>
      </c>
      <c r="B367" s="307">
        <f>IFERROR(J367/J$107,"-")</f>
        <v>0</v>
      </c>
      <c r="C367" s="324">
        <v>0</v>
      </c>
      <c r="D367" s="325">
        <v>0</v>
      </c>
      <c r="E367" s="325">
        <v>0</v>
      </c>
      <c r="F367" s="325">
        <v>0</v>
      </c>
      <c r="G367" s="325">
        <v>0</v>
      </c>
      <c r="H367" s="326">
        <v>0</v>
      </c>
      <c r="I367" s="10">
        <f t="shared" si="242"/>
        <v>0</v>
      </c>
      <c r="J367" s="39">
        <f t="shared" ref="J367:J375" si="279">SUM(C367:H367)</f>
        <v>0</v>
      </c>
      <c r="K367" s="2"/>
      <c r="L367" s="186"/>
      <c r="M367" s="2"/>
    </row>
    <row r="368" spans="1:13" ht="13.15" customHeight="1" x14ac:dyDescent="0.3">
      <c r="A368" s="36" t="s">
        <v>492</v>
      </c>
      <c r="B368" s="307">
        <f>IFERROR(J368/J$108,"-")</f>
        <v>0</v>
      </c>
      <c r="C368" s="324">
        <v>0</v>
      </c>
      <c r="D368" s="324">
        <v>0</v>
      </c>
      <c r="E368" s="324">
        <v>0</v>
      </c>
      <c r="F368" s="324">
        <v>0</v>
      </c>
      <c r="G368" s="324">
        <v>0</v>
      </c>
      <c r="H368" s="326">
        <v>0</v>
      </c>
      <c r="I368" s="39">
        <f t="shared" si="242"/>
        <v>0</v>
      </c>
      <c r="J368" s="39">
        <f t="shared" si="279"/>
        <v>0</v>
      </c>
      <c r="K368" s="2"/>
      <c r="L368" s="187"/>
      <c r="M368" s="2"/>
    </row>
    <row r="369" spans="1:13" x14ac:dyDescent="0.3">
      <c r="A369" s="36" t="s">
        <v>493</v>
      </c>
      <c r="B369" s="307">
        <f>IFERROR(J369/J$109,"-")</f>
        <v>0</v>
      </c>
      <c r="C369" s="324">
        <v>0</v>
      </c>
      <c r="D369" s="324">
        <v>0</v>
      </c>
      <c r="E369" s="324">
        <v>0</v>
      </c>
      <c r="F369" s="324">
        <v>0</v>
      </c>
      <c r="G369" s="324">
        <v>0</v>
      </c>
      <c r="H369" s="326">
        <v>0</v>
      </c>
      <c r="I369" s="39">
        <f t="shared" si="242"/>
        <v>0</v>
      </c>
      <c r="J369" s="39">
        <f t="shared" si="279"/>
        <v>0</v>
      </c>
      <c r="K369" s="2"/>
      <c r="L369" s="187"/>
      <c r="M369" s="2"/>
    </row>
    <row r="370" spans="1:13" x14ac:dyDescent="0.3">
      <c r="A370" s="36" t="s">
        <v>494</v>
      </c>
      <c r="B370" s="307">
        <f>IFERROR(J370/J$110,"-")</f>
        <v>0</v>
      </c>
      <c r="C370" s="324">
        <v>0</v>
      </c>
      <c r="D370" s="324">
        <v>0</v>
      </c>
      <c r="E370" s="324">
        <v>0</v>
      </c>
      <c r="F370" s="324">
        <v>0</v>
      </c>
      <c r="G370" s="324">
        <v>0</v>
      </c>
      <c r="H370" s="326">
        <v>0</v>
      </c>
      <c r="I370" s="39">
        <f t="shared" si="242"/>
        <v>0</v>
      </c>
      <c r="J370" s="39">
        <f t="shared" si="279"/>
        <v>0</v>
      </c>
      <c r="K370" s="2"/>
      <c r="L370" s="187"/>
      <c r="M370" s="2"/>
    </row>
    <row r="371" spans="1:13" x14ac:dyDescent="0.3">
      <c r="A371" s="116" t="s">
        <v>495</v>
      </c>
      <c r="B371" s="313">
        <f>IFERROR(J371/J$111,"-")</f>
        <v>0</v>
      </c>
      <c r="C371" s="294">
        <f>SUM(C372:C375)</f>
        <v>0</v>
      </c>
      <c r="D371" s="297">
        <f t="shared" ref="D371" si="280">SUM(D372:D375)</f>
        <v>0</v>
      </c>
      <c r="E371" s="297">
        <f t="shared" ref="E371" si="281">SUM(E372:E375)</f>
        <v>0</v>
      </c>
      <c r="F371" s="297">
        <f t="shared" ref="F371" si="282">SUM(F372:F375)</f>
        <v>0</v>
      </c>
      <c r="G371" s="297">
        <f t="shared" ref="G371" si="283">SUM(G372:G375)</f>
        <v>0</v>
      </c>
      <c r="H371" s="296">
        <f t="shared" ref="H371" si="284">SUM(H372:H375)</f>
        <v>0</v>
      </c>
      <c r="I371" s="62">
        <f t="shared" si="242"/>
        <v>0</v>
      </c>
      <c r="J371" s="62">
        <f t="shared" si="279"/>
        <v>0</v>
      </c>
      <c r="K371" s="2"/>
      <c r="L371" s="195"/>
      <c r="M371" s="2"/>
    </row>
    <row r="372" spans="1:13" x14ac:dyDescent="0.3">
      <c r="A372" s="36" t="s">
        <v>491</v>
      </c>
      <c r="B372" s="307" t="str">
        <f>IFERROR(J372/J$112,"-")</f>
        <v>-</v>
      </c>
      <c r="C372" s="324">
        <v>0</v>
      </c>
      <c r="D372" s="324">
        <v>0</v>
      </c>
      <c r="E372" s="324">
        <v>0</v>
      </c>
      <c r="F372" s="324">
        <v>0</v>
      </c>
      <c r="G372" s="324">
        <v>0</v>
      </c>
      <c r="H372" s="326">
        <v>0</v>
      </c>
      <c r="I372" s="39">
        <f t="shared" si="242"/>
        <v>0</v>
      </c>
      <c r="J372" s="39">
        <f t="shared" si="279"/>
        <v>0</v>
      </c>
      <c r="K372" s="2"/>
      <c r="L372" s="187"/>
      <c r="M372" s="2"/>
    </row>
    <row r="373" spans="1:13" x14ac:dyDescent="0.3">
      <c r="A373" s="36" t="s">
        <v>492</v>
      </c>
      <c r="B373" s="307">
        <f>IFERROR(J373/J$113,"-")</f>
        <v>0</v>
      </c>
      <c r="C373" s="324">
        <v>0</v>
      </c>
      <c r="D373" s="324">
        <v>0</v>
      </c>
      <c r="E373" s="324">
        <v>0</v>
      </c>
      <c r="F373" s="324">
        <v>0</v>
      </c>
      <c r="G373" s="324">
        <v>0</v>
      </c>
      <c r="H373" s="326">
        <v>0</v>
      </c>
      <c r="I373" s="39">
        <f t="shared" ref="I373" si="285">IFERROR(AVERAGE(C373:H373),0)</f>
        <v>0</v>
      </c>
      <c r="J373" s="39">
        <f t="shared" ref="J373" si="286">SUM(C373:H373)</f>
        <v>0</v>
      </c>
      <c r="K373" s="2"/>
      <c r="L373" s="187"/>
      <c r="M373" s="2"/>
    </row>
    <row r="374" spans="1:13" x14ac:dyDescent="0.3">
      <c r="A374" s="36" t="s">
        <v>493</v>
      </c>
      <c r="B374" s="307" t="str">
        <f>IFERROR(J374/J$114,"-")</f>
        <v>-</v>
      </c>
      <c r="C374" s="324">
        <v>0</v>
      </c>
      <c r="D374" s="324">
        <v>0</v>
      </c>
      <c r="E374" s="324">
        <v>0</v>
      </c>
      <c r="F374" s="324">
        <v>0</v>
      </c>
      <c r="G374" s="324">
        <v>0</v>
      </c>
      <c r="H374" s="326">
        <v>0</v>
      </c>
      <c r="I374" s="39">
        <f t="shared" si="242"/>
        <v>0</v>
      </c>
      <c r="J374" s="39">
        <f t="shared" si="279"/>
        <v>0</v>
      </c>
      <c r="K374" s="2"/>
      <c r="L374" s="187"/>
      <c r="M374" s="2"/>
    </row>
    <row r="375" spans="1:13" x14ac:dyDescent="0.3">
      <c r="A375" s="59" t="s">
        <v>494</v>
      </c>
      <c r="B375" s="498" t="str">
        <f>IFERROR(J375/J$115,"-")</f>
        <v>-</v>
      </c>
      <c r="C375" s="330">
        <v>0</v>
      </c>
      <c r="D375" s="330">
        <v>0</v>
      </c>
      <c r="E375" s="330">
        <v>0</v>
      </c>
      <c r="F375" s="330">
        <v>0</v>
      </c>
      <c r="G375" s="330">
        <v>0</v>
      </c>
      <c r="H375" s="331">
        <v>0</v>
      </c>
      <c r="I375" s="229">
        <f t="shared" si="242"/>
        <v>0</v>
      </c>
      <c r="J375" s="229">
        <f t="shared" si="279"/>
        <v>0</v>
      </c>
      <c r="K375" s="2"/>
      <c r="L375" s="202"/>
      <c r="M375" s="2"/>
    </row>
    <row r="376" spans="1:13" x14ac:dyDescent="0.3">
      <c r="A376" s="116" t="s">
        <v>496</v>
      </c>
      <c r="B376" s="313" t="str">
        <f>IFERROR(J376/J$116,"-")</f>
        <v>-</v>
      </c>
      <c r="C376" s="294">
        <f>SUM(C377:C380)</f>
        <v>0</v>
      </c>
      <c r="D376" s="297">
        <f t="shared" ref="D376:H376" si="287">SUM(D377:D380)</f>
        <v>0</v>
      </c>
      <c r="E376" s="297">
        <f t="shared" si="287"/>
        <v>0</v>
      </c>
      <c r="F376" s="297">
        <f t="shared" si="287"/>
        <v>0</v>
      </c>
      <c r="G376" s="297">
        <f t="shared" si="287"/>
        <v>0</v>
      </c>
      <c r="H376" s="296">
        <f t="shared" si="287"/>
        <v>0</v>
      </c>
      <c r="I376" s="62">
        <f t="shared" si="242"/>
        <v>0</v>
      </c>
      <c r="J376" s="62">
        <f>SUM(C376:H376)</f>
        <v>0</v>
      </c>
      <c r="K376" s="2"/>
      <c r="L376" s="187"/>
      <c r="M376" s="2"/>
    </row>
    <row r="377" spans="1:13" x14ac:dyDescent="0.3">
      <c r="A377" s="36" t="s">
        <v>491</v>
      </c>
      <c r="B377" s="307" t="str">
        <f>IFERROR(J377/J$117,"-")</f>
        <v>-</v>
      </c>
      <c r="C377" s="324">
        <v>0</v>
      </c>
      <c r="D377" s="325">
        <v>0</v>
      </c>
      <c r="E377" s="325">
        <v>0</v>
      </c>
      <c r="F377" s="325">
        <v>0</v>
      </c>
      <c r="G377" s="325">
        <v>0</v>
      </c>
      <c r="H377" s="326">
        <v>0</v>
      </c>
      <c r="I377" s="10">
        <f t="shared" si="242"/>
        <v>0</v>
      </c>
      <c r="J377" s="39">
        <f t="shared" ref="J377:J385" si="288">SUM(C377:H377)</f>
        <v>0</v>
      </c>
      <c r="K377" s="2"/>
      <c r="L377" s="186"/>
      <c r="M377" s="2"/>
    </row>
    <row r="378" spans="1:13" ht="13.15" customHeight="1" x14ac:dyDescent="0.3">
      <c r="A378" s="36" t="s">
        <v>492</v>
      </c>
      <c r="B378" s="307" t="str">
        <f>IFERROR(J378/J$118,"-")</f>
        <v>-</v>
      </c>
      <c r="C378" s="324">
        <v>0</v>
      </c>
      <c r="D378" s="324">
        <v>0</v>
      </c>
      <c r="E378" s="324">
        <v>0</v>
      </c>
      <c r="F378" s="324">
        <v>0</v>
      </c>
      <c r="G378" s="324">
        <v>0</v>
      </c>
      <c r="H378" s="326">
        <v>0</v>
      </c>
      <c r="I378" s="39">
        <f t="shared" si="242"/>
        <v>0</v>
      </c>
      <c r="J378" s="39">
        <f t="shared" si="288"/>
        <v>0</v>
      </c>
      <c r="K378" s="2"/>
      <c r="L378" s="187"/>
      <c r="M378" s="2"/>
    </row>
    <row r="379" spans="1:13" x14ac:dyDescent="0.3">
      <c r="A379" s="36" t="s">
        <v>493</v>
      </c>
      <c r="B379" s="307" t="str">
        <f>IFERROR(J379/J$119,"-")</f>
        <v>-</v>
      </c>
      <c r="C379" s="324">
        <v>0</v>
      </c>
      <c r="D379" s="324">
        <v>0</v>
      </c>
      <c r="E379" s="324">
        <v>0</v>
      </c>
      <c r="F379" s="324">
        <v>0</v>
      </c>
      <c r="G379" s="324">
        <v>0</v>
      </c>
      <c r="H379" s="326">
        <v>0</v>
      </c>
      <c r="I379" s="39">
        <f t="shared" si="242"/>
        <v>0</v>
      </c>
      <c r="J379" s="39">
        <f t="shared" si="288"/>
        <v>0</v>
      </c>
      <c r="K379" s="2"/>
      <c r="L379" s="187"/>
      <c r="M379" s="2"/>
    </row>
    <row r="380" spans="1:13" x14ac:dyDescent="0.3">
      <c r="A380" s="36" t="s">
        <v>494</v>
      </c>
      <c r="B380" s="307" t="str">
        <f>IFERROR(J380/J$120,"-")</f>
        <v>-</v>
      </c>
      <c r="C380" s="324">
        <v>0</v>
      </c>
      <c r="D380" s="324">
        <v>0</v>
      </c>
      <c r="E380" s="324">
        <v>0</v>
      </c>
      <c r="F380" s="324">
        <v>0</v>
      </c>
      <c r="G380" s="324">
        <v>0</v>
      </c>
      <c r="H380" s="326">
        <v>0</v>
      </c>
      <c r="I380" s="39">
        <f t="shared" si="242"/>
        <v>0</v>
      </c>
      <c r="J380" s="39">
        <f t="shared" si="288"/>
        <v>0</v>
      </c>
      <c r="K380" s="2"/>
      <c r="L380" s="187"/>
      <c r="M380" s="2"/>
    </row>
    <row r="381" spans="1:13" x14ac:dyDescent="0.3">
      <c r="A381" s="116" t="s">
        <v>272</v>
      </c>
      <c r="B381" s="313">
        <f>IFERROR(J381/J$121,"-")</f>
        <v>0</v>
      </c>
      <c r="C381" s="294">
        <f>SUM(C382:C385)</f>
        <v>0</v>
      </c>
      <c r="D381" s="297">
        <f t="shared" ref="D381:H381" si="289">SUM(D382:D385)</f>
        <v>0</v>
      </c>
      <c r="E381" s="297">
        <f t="shared" si="289"/>
        <v>0</v>
      </c>
      <c r="F381" s="297">
        <f t="shared" si="289"/>
        <v>0</v>
      </c>
      <c r="G381" s="297">
        <f t="shared" si="289"/>
        <v>0</v>
      </c>
      <c r="H381" s="296">
        <f t="shared" si="289"/>
        <v>0</v>
      </c>
      <c r="I381" s="62">
        <f t="shared" si="242"/>
        <v>0</v>
      </c>
      <c r="J381" s="62">
        <f t="shared" si="288"/>
        <v>0</v>
      </c>
      <c r="K381" s="2"/>
      <c r="L381" s="195"/>
      <c r="M381" s="2"/>
    </row>
    <row r="382" spans="1:13" x14ac:dyDescent="0.3">
      <c r="A382" s="36" t="s">
        <v>491</v>
      </c>
      <c r="B382" s="307">
        <f>IFERROR(J382/J$122,"-")</f>
        <v>0</v>
      </c>
      <c r="C382" s="324">
        <v>0</v>
      </c>
      <c r="D382" s="324">
        <v>0</v>
      </c>
      <c r="E382" s="324">
        <v>0</v>
      </c>
      <c r="F382" s="324">
        <v>0</v>
      </c>
      <c r="G382" s="324">
        <v>0</v>
      </c>
      <c r="H382" s="326">
        <v>0</v>
      </c>
      <c r="I382" s="39">
        <f t="shared" si="242"/>
        <v>0</v>
      </c>
      <c r="J382" s="39">
        <f t="shared" si="288"/>
        <v>0</v>
      </c>
      <c r="K382" s="2"/>
      <c r="L382" s="187"/>
      <c r="M382" s="2"/>
    </row>
    <row r="383" spans="1:13" x14ac:dyDescent="0.3">
      <c r="A383" s="36" t="s">
        <v>492</v>
      </c>
      <c r="B383" s="307" t="str">
        <f>IFERROR(J383/J$123,"-")</f>
        <v>-</v>
      </c>
      <c r="C383" s="324">
        <v>0</v>
      </c>
      <c r="D383" s="324">
        <v>0</v>
      </c>
      <c r="E383" s="324">
        <v>0</v>
      </c>
      <c r="F383" s="324">
        <v>0</v>
      </c>
      <c r="G383" s="324">
        <v>0</v>
      </c>
      <c r="H383" s="326">
        <v>0</v>
      </c>
      <c r="I383" s="39">
        <f t="shared" si="242"/>
        <v>0</v>
      </c>
      <c r="J383" s="39">
        <f t="shared" si="288"/>
        <v>0</v>
      </c>
      <c r="K383" s="2"/>
      <c r="L383" s="187"/>
      <c r="M383" s="2"/>
    </row>
    <row r="384" spans="1:13" x14ac:dyDescent="0.3">
      <c r="A384" s="36" t="s">
        <v>493</v>
      </c>
      <c r="B384" s="307" t="str">
        <f>IFERROR(J384/J$124,"-")</f>
        <v>-</v>
      </c>
      <c r="C384" s="324">
        <v>0</v>
      </c>
      <c r="D384" s="324">
        <v>0</v>
      </c>
      <c r="E384" s="324">
        <v>0</v>
      </c>
      <c r="F384" s="324">
        <v>0</v>
      </c>
      <c r="G384" s="324">
        <v>0</v>
      </c>
      <c r="H384" s="326">
        <v>0</v>
      </c>
      <c r="I384" s="39">
        <f t="shared" si="242"/>
        <v>0</v>
      </c>
      <c r="J384" s="39">
        <f t="shared" si="288"/>
        <v>0</v>
      </c>
      <c r="K384" s="2"/>
      <c r="L384" s="187"/>
      <c r="M384" s="2"/>
    </row>
    <row r="385" spans="1:13" x14ac:dyDescent="0.3">
      <c r="A385" s="59" t="s">
        <v>494</v>
      </c>
      <c r="B385" s="498">
        <f>IFERROR(J385/J$125,"-")</f>
        <v>0</v>
      </c>
      <c r="C385" s="330">
        <v>0</v>
      </c>
      <c r="D385" s="330">
        <v>0</v>
      </c>
      <c r="E385" s="330">
        <v>0</v>
      </c>
      <c r="F385" s="330">
        <v>0</v>
      </c>
      <c r="G385" s="330">
        <v>0</v>
      </c>
      <c r="H385" s="331">
        <v>0</v>
      </c>
      <c r="I385" s="229">
        <f t="shared" si="242"/>
        <v>0</v>
      </c>
      <c r="J385" s="229">
        <f t="shared" si="288"/>
        <v>0</v>
      </c>
      <c r="K385" s="2"/>
      <c r="L385" s="202"/>
      <c r="M385" s="2"/>
    </row>
    <row r="386" spans="1:13" x14ac:dyDescent="0.3">
      <c r="A386" s="116" t="s">
        <v>274</v>
      </c>
      <c r="B386" s="313">
        <f>IFERROR(J386/J$126,"-")</f>
        <v>0</v>
      </c>
      <c r="C386" s="294">
        <f>SUM(C387:C390)</f>
        <v>0</v>
      </c>
      <c r="D386" s="297">
        <f t="shared" ref="D386:H386" si="290">SUM(D387:D390)</f>
        <v>0</v>
      </c>
      <c r="E386" s="297">
        <f t="shared" si="290"/>
        <v>0</v>
      </c>
      <c r="F386" s="297">
        <f t="shared" si="290"/>
        <v>0</v>
      </c>
      <c r="G386" s="297">
        <f t="shared" si="290"/>
        <v>0</v>
      </c>
      <c r="H386" s="296">
        <f t="shared" si="290"/>
        <v>0</v>
      </c>
      <c r="I386" s="62">
        <f t="shared" ref="I386:I395" si="291">IFERROR(AVERAGE(C386:H386),0)</f>
        <v>0</v>
      </c>
      <c r="J386" s="62">
        <f>SUM(C386:H386)</f>
        <v>0</v>
      </c>
      <c r="K386" s="2"/>
      <c r="L386" s="187"/>
      <c r="M386" s="2"/>
    </row>
    <row r="387" spans="1:13" x14ac:dyDescent="0.3">
      <c r="A387" s="36" t="s">
        <v>491</v>
      </c>
      <c r="B387" s="307">
        <f>IFERROR(J387/J$127,"-")</f>
        <v>0</v>
      </c>
      <c r="C387" s="324">
        <v>0</v>
      </c>
      <c r="D387" s="325">
        <v>0</v>
      </c>
      <c r="E387" s="325">
        <v>0</v>
      </c>
      <c r="F387" s="325">
        <v>0</v>
      </c>
      <c r="G387" s="325">
        <v>0</v>
      </c>
      <c r="H387" s="326">
        <v>0</v>
      </c>
      <c r="I387" s="10">
        <f t="shared" si="291"/>
        <v>0</v>
      </c>
      <c r="J387" s="39">
        <f t="shared" ref="J387:J395" si="292">SUM(C387:H387)</f>
        <v>0</v>
      </c>
      <c r="K387" s="2"/>
      <c r="L387" s="186"/>
      <c r="M387" s="2"/>
    </row>
    <row r="388" spans="1:13" ht="13.15" customHeight="1" x14ac:dyDescent="0.3">
      <c r="A388" s="36" t="s">
        <v>492</v>
      </c>
      <c r="B388" s="307">
        <f>IFERROR(J388/J$128,"-")</f>
        <v>0</v>
      </c>
      <c r="C388" s="324">
        <v>0</v>
      </c>
      <c r="D388" s="324">
        <v>0</v>
      </c>
      <c r="E388" s="324">
        <v>0</v>
      </c>
      <c r="F388" s="324">
        <v>0</v>
      </c>
      <c r="G388" s="324">
        <v>0</v>
      </c>
      <c r="H388" s="326">
        <v>0</v>
      </c>
      <c r="I388" s="39">
        <f t="shared" si="291"/>
        <v>0</v>
      </c>
      <c r="J388" s="39">
        <f t="shared" si="292"/>
        <v>0</v>
      </c>
      <c r="K388" s="2"/>
      <c r="L388" s="187"/>
      <c r="M388" s="2"/>
    </row>
    <row r="389" spans="1:13" x14ac:dyDescent="0.3">
      <c r="A389" s="36" t="s">
        <v>493</v>
      </c>
      <c r="B389" s="307" t="str">
        <f>IFERROR(J389/J$129,"-")</f>
        <v>-</v>
      </c>
      <c r="C389" s="324">
        <v>0</v>
      </c>
      <c r="D389" s="324">
        <v>0</v>
      </c>
      <c r="E389" s="324">
        <v>0</v>
      </c>
      <c r="F389" s="324">
        <v>0</v>
      </c>
      <c r="G389" s="324">
        <v>0</v>
      </c>
      <c r="H389" s="326">
        <v>0</v>
      </c>
      <c r="I389" s="39">
        <f t="shared" si="291"/>
        <v>0</v>
      </c>
      <c r="J389" s="39">
        <f t="shared" si="292"/>
        <v>0</v>
      </c>
      <c r="K389" s="2"/>
      <c r="L389" s="187"/>
      <c r="M389" s="2"/>
    </row>
    <row r="390" spans="1:13" x14ac:dyDescent="0.3">
      <c r="A390" s="36" t="s">
        <v>494</v>
      </c>
      <c r="B390" s="307" t="str">
        <f>IFERROR(J390/J$130,"-")</f>
        <v>-</v>
      </c>
      <c r="C390" s="324">
        <v>0</v>
      </c>
      <c r="D390" s="324">
        <v>0</v>
      </c>
      <c r="E390" s="324">
        <v>0</v>
      </c>
      <c r="F390" s="324">
        <v>0</v>
      </c>
      <c r="G390" s="324">
        <v>0</v>
      </c>
      <c r="H390" s="326">
        <v>0</v>
      </c>
      <c r="I390" s="39">
        <f t="shared" si="291"/>
        <v>0</v>
      </c>
      <c r="J390" s="39">
        <f t="shared" si="292"/>
        <v>0</v>
      </c>
      <c r="K390" s="2"/>
      <c r="L390" s="187"/>
      <c r="M390" s="2"/>
    </row>
    <row r="391" spans="1:13" x14ac:dyDescent="0.3">
      <c r="A391" s="116" t="s">
        <v>462</v>
      </c>
      <c r="B391" s="313" t="str">
        <f>IFERROR(J391/J$131,"-")</f>
        <v>-</v>
      </c>
      <c r="C391" s="294">
        <f>SUM(C392:C395)</f>
        <v>0</v>
      </c>
      <c r="D391" s="297">
        <f t="shared" ref="D391:H391" si="293">SUM(D392:D395)</f>
        <v>0</v>
      </c>
      <c r="E391" s="297">
        <f t="shared" si="293"/>
        <v>0</v>
      </c>
      <c r="F391" s="297">
        <f t="shared" si="293"/>
        <v>0</v>
      </c>
      <c r="G391" s="297">
        <f t="shared" si="293"/>
        <v>0</v>
      </c>
      <c r="H391" s="296">
        <f t="shared" si="293"/>
        <v>0</v>
      </c>
      <c r="I391" s="62">
        <f t="shared" si="291"/>
        <v>0</v>
      </c>
      <c r="J391" s="62">
        <f t="shared" si="292"/>
        <v>0</v>
      </c>
      <c r="K391" s="2"/>
      <c r="L391" s="195"/>
      <c r="M391" s="2"/>
    </row>
    <row r="392" spans="1:13" x14ac:dyDescent="0.3">
      <c r="A392" s="36" t="s">
        <v>491</v>
      </c>
      <c r="B392" s="307" t="str">
        <f>IFERROR(J392/J$132,"-")</f>
        <v>-</v>
      </c>
      <c r="C392" s="324">
        <v>0</v>
      </c>
      <c r="D392" s="324">
        <v>0</v>
      </c>
      <c r="E392" s="324">
        <v>0</v>
      </c>
      <c r="F392" s="324">
        <v>0</v>
      </c>
      <c r="G392" s="324">
        <v>0</v>
      </c>
      <c r="H392" s="326">
        <v>0</v>
      </c>
      <c r="I392" s="39">
        <f t="shared" si="291"/>
        <v>0</v>
      </c>
      <c r="J392" s="39">
        <f t="shared" si="292"/>
        <v>0</v>
      </c>
      <c r="K392" s="2"/>
      <c r="L392" s="187"/>
      <c r="M392" s="2"/>
    </row>
    <row r="393" spans="1:13" x14ac:dyDescent="0.3">
      <c r="A393" s="36" t="s">
        <v>492</v>
      </c>
      <c r="B393" s="307" t="str">
        <f>IFERROR(J393/J$133,"-")</f>
        <v>-</v>
      </c>
      <c r="C393" s="324">
        <v>0</v>
      </c>
      <c r="D393" s="324">
        <v>0</v>
      </c>
      <c r="E393" s="324">
        <v>0</v>
      </c>
      <c r="F393" s="324">
        <v>0</v>
      </c>
      <c r="G393" s="324">
        <v>0</v>
      </c>
      <c r="H393" s="326">
        <v>0</v>
      </c>
      <c r="I393" s="39">
        <f t="shared" si="291"/>
        <v>0</v>
      </c>
      <c r="J393" s="39">
        <f t="shared" si="292"/>
        <v>0</v>
      </c>
      <c r="K393" s="2"/>
      <c r="L393" s="187"/>
      <c r="M393" s="2"/>
    </row>
    <row r="394" spans="1:13" x14ac:dyDescent="0.3">
      <c r="A394" s="36" t="s">
        <v>493</v>
      </c>
      <c r="B394" s="307" t="str">
        <f>IFERROR(J394/J$134,"-")</f>
        <v>-</v>
      </c>
      <c r="C394" s="324">
        <v>0</v>
      </c>
      <c r="D394" s="324">
        <v>0</v>
      </c>
      <c r="E394" s="324">
        <v>0</v>
      </c>
      <c r="F394" s="324">
        <v>0</v>
      </c>
      <c r="G394" s="324">
        <v>0</v>
      </c>
      <c r="H394" s="326">
        <v>0</v>
      </c>
      <c r="I394" s="39">
        <f t="shared" si="291"/>
        <v>0</v>
      </c>
      <c r="J394" s="39">
        <f t="shared" si="292"/>
        <v>0</v>
      </c>
      <c r="K394" s="2"/>
      <c r="L394" s="187"/>
      <c r="M394" s="2"/>
    </row>
    <row r="395" spans="1:13" x14ac:dyDescent="0.3">
      <c r="A395" s="59" t="s">
        <v>494</v>
      </c>
      <c r="B395" s="498" t="str">
        <f>IFERROR(J395/J$135,"-")</f>
        <v>-</v>
      </c>
      <c r="C395" s="330">
        <v>0</v>
      </c>
      <c r="D395" s="330">
        <v>0</v>
      </c>
      <c r="E395" s="330">
        <v>0</v>
      </c>
      <c r="F395" s="330">
        <v>0</v>
      </c>
      <c r="G395" s="330">
        <v>0</v>
      </c>
      <c r="H395" s="331">
        <v>0</v>
      </c>
      <c r="I395" s="229">
        <f t="shared" si="291"/>
        <v>0</v>
      </c>
      <c r="J395" s="229">
        <f t="shared" si="292"/>
        <v>0</v>
      </c>
      <c r="K395" s="2"/>
      <c r="L395" s="202"/>
      <c r="M395" s="2"/>
    </row>
    <row r="396" spans="1:13" x14ac:dyDescent="0.3">
      <c r="A396" s="115" t="s">
        <v>76</v>
      </c>
      <c r="B396" s="53"/>
      <c r="C396" s="223">
        <f>C397+C402+C407+C412+C417+C422</f>
        <v>125185.57756088318</v>
      </c>
      <c r="D396" s="221">
        <f t="shared" ref="D396" si="294">D397+D402+D407+D412+D417+D422</f>
        <v>125177.74724839655</v>
      </c>
      <c r="E396" s="221">
        <f t="shared" ref="E396" si="295">E397+E402+E407+E412+E417+E422</f>
        <v>125173.78335576851</v>
      </c>
      <c r="F396" s="221">
        <f t="shared" ref="F396" si="296">F397+F402+F407+F412+F417+F422</f>
        <v>125161.89167788424</v>
      </c>
      <c r="G396" s="221">
        <f t="shared" ref="G396" si="297">G397+G402+G407+G412+G417+G422</f>
        <v>125165.81224928141</v>
      </c>
      <c r="H396" s="222">
        <f t="shared" ref="H396" si="298">H397+H402+H407+H412+H417+H422</f>
        <v>125584.04624277457</v>
      </c>
      <c r="I396" s="301">
        <f t="shared" si="242"/>
        <v>125241.47638916475</v>
      </c>
      <c r="J396" s="301">
        <f>SUM(C396:H396)</f>
        <v>751448.85833498847</v>
      </c>
      <c r="K396" s="2"/>
      <c r="L396" s="494" t="s">
        <v>310</v>
      </c>
      <c r="M396" s="2"/>
    </row>
    <row r="397" spans="1:13" x14ac:dyDescent="0.3">
      <c r="A397" s="116" t="s">
        <v>273</v>
      </c>
      <c r="B397" s="313">
        <f>IFERROR(J397/J$106,"-")</f>
        <v>694.87445011550301</v>
      </c>
      <c r="C397" s="294">
        <f>SUM(C398:C401)</f>
        <v>76717.080451056579</v>
      </c>
      <c r="D397" s="297">
        <f t="shared" ref="D397" si="299">SUM(D398:D401)</f>
        <v>76709.250138569958</v>
      </c>
      <c r="E397" s="297">
        <f t="shared" ref="E397" si="300">SUM(E398:E401)</f>
        <v>76705.286245941912</v>
      </c>
      <c r="F397" s="297">
        <f t="shared" ref="F397" si="301">SUM(F398:F401)</f>
        <v>76687.448729115524</v>
      </c>
      <c r="G397" s="297">
        <f t="shared" ref="G397" si="302">SUM(G398:G401)</f>
        <v>76697.315139454819</v>
      </c>
      <c r="H397" s="296">
        <f t="shared" ref="H397" si="303">SUM(H398:H401)</f>
        <v>77113.56718663394</v>
      </c>
      <c r="I397" s="62">
        <f t="shared" si="242"/>
        <v>76771.657981795448</v>
      </c>
      <c r="J397" s="62">
        <f>SUM(C397:H397)</f>
        <v>460629.94789077272</v>
      </c>
      <c r="K397" s="2"/>
      <c r="L397" s="187"/>
      <c r="M397" s="2"/>
    </row>
    <row r="398" spans="1:13" x14ac:dyDescent="0.3">
      <c r="A398" s="36" t="s">
        <v>491</v>
      </c>
      <c r="B398" s="307">
        <f>IFERROR(J398/J$107,"-")</f>
        <v>536.41048445903209</v>
      </c>
      <c r="C398" s="324">
        <v>34415.360560977926</v>
      </c>
      <c r="D398" s="325">
        <v>24037.044896666404</v>
      </c>
      <c r="E398" s="325">
        <v>18083.278169292898</v>
      </c>
      <c r="F398" s="325">
        <v>13201.744397814553</v>
      </c>
      <c r="G398" s="325">
        <v>8929.9677816734584</v>
      </c>
      <c r="H398" s="326">
        <v>4822.0753820571699</v>
      </c>
      <c r="I398" s="10">
        <f t="shared" si="242"/>
        <v>17248.2451980804</v>
      </c>
      <c r="J398" s="39">
        <f t="shared" ref="J398:J406" si="304">SUM(C398:H398)</f>
        <v>103489.47118848241</v>
      </c>
      <c r="K398" s="2"/>
      <c r="L398" s="186"/>
      <c r="M398" s="2"/>
    </row>
    <row r="399" spans="1:13" ht="13.15" customHeight="1" x14ac:dyDescent="0.3">
      <c r="A399" s="36" t="s">
        <v>492</v>
      </c>
      <c r="B399" s="307">
        <f>IFERROR(J399/J$108,"-")</f>
        <v>723.41040462427748</v>
      </c>
      <c r="C399" s="324">
        <v>26042.774566473989</v>
      </c>
      <c r="D399" s="324">
        <v>26042.774566473989</v>
      </c>
      <c r="E399" s="324">
        <v>26042.774566473989</v>
      </c>
      <c r="F399" s="324">
        <v>26042.774566473989</v>
      </c>
      <c r="G399" s="324">
        <v>26042.774566473989</v>
      </c>
      <c r="H399" s="326">
        <v>26042.774566473989</v>
      </c>
      <c r="I399" s="39">
        <f t="shared" si="242"/>
        <v>26042.774566473989</v>
      </c>
      <c r="J399" s="39">
        <f t="shared" si="304"/>
        <v>156256.64739884392</v>
      </c>
      <c r="K399" s="2"/>
      <c r="L399" s="187"/>
      <c r="M399" s="2"/>
    </row>
    <row r="400" spans="1:13" x14ac:dyDescent="0.3">
      <c r="A400" s="36" t="s">
        <v>493</v>
      </c>
      <c r="B400" s="307">
        <f>IFERROR(J400/J$109,"-")</f>
        <v>600.06042206270945</v>
      </c>
      <c r="C400" s="324">
        <v>4340.4624277456651</v>
      </c>
      <c r="D400" s="324">
        <v>4340.4624277456651</v>
      </c>
      <c r="E400" s="324">
        <v>4340.4624277456651</v>
      </c>
      <c r="F400" s="324">
        <v>5612.8719613587773</v>
      </c>
      <c r="G400" s="324">
        <v>6510.6936416184972</v>
      </c>
      <c r="H400" s="326">
        <v>6510.6936416184972</v>
      </c>
      <c r="I400" s="39">
        <f t="shared" si="242"/>
        <v>5275.9410879721281</v>
      </c>
      <c r="J400" s="39">
        <f t="shared" si="304"/>
        <v>31655.646527832771</v>
      </c>
      <c r="K400" s="2"/>
      <c r="L400" s="187"/>
      <c r="M400" s="2"/>
    </row>
    <row r="401" spans="1:13" x14ac:dyDescent="0.3">
      <c r="A401" s="36" t="s">
        <v>494</v>
      </c>
      <c r="B401" s="307">
        <f>IFERROR(J401/J$110,"-")</f>
        <v>841.04027751280591</v>
      </c>
      <c r="C401" s="324">
        <v>11918.482895858995</v>
      </c>
      <c r="D401" s="324">
        <v>22288.968247683897</v>
      </c>
      <c r="E401" s="324">
        <v>28238.771082429346</v>
      </c>
      <c r="F401" s="324">
        <v>31830.057803468208</v>
      </c>
      <c r="G401" s="324">
        <v>35213.879149688873</v>
      </c>
      <c r="H401" s="326">
        <v>39738.023596484287</v>
      </c>
      <c r="I401" s="39">
        <f t="shared" si="242"/>
        <v>28204.697129268938</v>
      </c>
      <c r="J401" s="39">
        <f t="shared" si="304"/>
        <v>169228.18277561362</v>
      </c>
      <c r="K401" s="2"/>
      <c r="L401" s="187"/>
      <c r="M401" s="2"/>
    </row>
    <row r="402" spans="1:13" x14ac:dyDescent="0.3">
      <c r="A402" s="116" t="s">
        <v>495</v>
      </c>
      <c r="B402" s="313">
        <f>IFERROR(J402/J$111,"-")</f>
        <v>723.41040462427748</v>
      </c>
      <c r="C402" s="294">
        <f>SUM(C403:C406)</f>
        <v>29659.826589595377</v>
      </c>
      <c r="D402" s="297">
        <f t="shared" ref="D402" si="305">SUM(D403:D406)</f>
        <v>29659.826589595377</v>
      </c>
      <c r="E402" s="297">
        <f t="shared" ref="E402" si="306">SUM(E403:E406)</f>
        <v>29659.826589595377</v>
      </c>
      <c r="F402" s="297">
        <f t="shared" ref="F402" si="307">SUM(F403:F406)</f>
        <v>29659.826589595377</v>
      </c>
      <c r="G402" s="297">
        <f t="shared" ref="G402" si="308">SUM(G403:G406)</f>
        <v>29659.826589595377</v>
      </c>
      <c r="H402" s="296">
        <f t="shared" ref="H402" si="309">SUM(H403:H406)</f>
        <v>29659.826589595377</v>
      </c>
      <c r="I402" s="62">
        <f t="shared" si="242"/>
        <v>29659.826589595377</v>
      </c>
      <c r="J402" s="62">
        <f t="shared" si="304"/>
        <v>177958.95953757226</v>
      </c>
      <c r="K402" s="2"/>
      <c r="L402" s="195"/>
      <c r="M402" s="2"/>
    </row>
    <row r="403" spans="1:13" x14ac:dyDescent="0.3">
      <c r="A403" s="36" t="s">
        <v>491</v>
      </c>
      <c r="B403" s="307" t="str">
        <f>IFERROR(J403/J$112,"-")</f>
        <v>-</v>
      </c>
      <c r="C403" s="324">
        <v>0</v>
      </c>
      <c r="D403" s="324">
        <v>0</v>
      </c>
      <c r="E403" s="324">
        <v>0</v>
      </c>
      <c r="F403" s="324">
        <v>0</v>
      </c>
      <c r="G403" s="324">
        <v>0</v>
      </c>
      <c r="H403" s="326">
        <v>0</v>
      </c>
      <c r="I403" s="39">
        <f t="shared" si="242"/>
        <v>0</v>
      </c>
      <c r="J403" s="39">
        <f t="shared" si="304"/>
        <v>0</v>
      </c>
      <c r="K403" s="2"/>
      <c r="L403" s="187"/>
      <c r="M403" s="2"/>
    </row>
    <row r="404" spans="1:13" x14ac:dyDescent="0.3">
      <c r="A404" s="36" t="s">
        <v>492</v>
      </c>
      <c r="B404" s="307">
        <f>IFERROR(J404/J$113,"-")</f>
        <v>723.41040462427748</v>
      </c>
      <c r="C404" s="324">
        <v>29659.826589595377</v>
      </c>
      <c r="D404" s="324">
        <v>29659.826589595377</v>
      </c>
      <c r="E404" s="324">
        <v>29659.826589595377</v>
      </c>
      <c r="F404" s="324">
        <v>29659.826589595377</v>
      </c>
      <c r="G404" s="324">
        <v>29659.826589595377</v>
      </c>
      <c r="H404" s="326">
        <v>29659.826589595377</v>
      </c>
      <c r="I404" s="39">
        <f t="shared" ref="I404" si="310">IFERROR(AVERAGE(C404:H404),0)</f>
        <v>29659.826589595377</v>
      </c>
      <c r="J404" s="39">
        <f t="shared" ref="J404" si="311">SUM(C404:H404)</f>
        <v>177958.95953757226</v>
      </c>
      <c r="K404" s="2"/>
      <c r="L404" s="187"/>
      <c r="M404" s="2"/>
    </row>
    <row r="405" spans="1:13" x14ac:dyDescent="0.3">
      <c r="A405" s="36" t="s">
        <v>493</v>
      </c>
      <c r="B405" s="307" t="str">
        <f>IFERROR(J405/J$114,"-")</f>
        <v>-</v>
      </c>
      <c r="C405" s="324">
        <v>0</v>
      </c>
      <c r="D405" s="324">
        <v>0</v>
      </c>
      <c r="E405" s="324">
        <v>0</v>
      </c>
      <c r="F405" s="324">
        <v>0</v>
      </c>
      <c r="G405" s="324">
        <v>0</v>
      </c>
      <c r="H405" s="326">
        <v>0</v>
      </c>
      <c r="I405" s="39">
        <f t="shared" si="242"/>
        <v>0</v>
      </c>
      <c r="J405" s="39">
        <f t="shared" si="304"/>
        <v>0</v>
      </c>
      <c r="K405" s="2"/>
      <c r="L405" s="187"/>
      <c r="M405" s="2"/>
    </row>
    <row r="406" spans="1:13" x14ac:dyDescent="0.3">
      <c r="A406" s="59" t="s">
        <v>494</v>
      </c>
      <c r="B406" s="498" t="str">
        <f>IFERROR(J406/J$115,"-")</f>
        <v>-</v>
      </c>
      <c r="C406" s="330">
        <v>0</v>
      </c>
      <c r="D406" s="330">
        <v>0</v>
      </c>
      <c r="E406" s="330">
        <v>0</v>
      </c>
      <c r="F406" s="330">
        <v>0</v>
      </c>
      <c r="G406" s="330">
        <v>0</v>
      </c>
      <c r="H406" s="331">
        <v>0</v>
      </c>
      <c r="I406" s="229">
        <f t="shared" si="242"/>
        <v>0</v>
      </c>
      <c r="J406" s="229">
        <f t="shared" si="304"/>
        <v>0</v>
      </c>
      <c r="K406" s="2"/>
      <c r="L406" s="202"/>
      <c r="M406" s="2"/>
    </row>
    <row r="407" spans="1:13" x14ac:dyDescent="0.3">
      <c r="A407" s="116" t="s">
        <v>496</v>
      </c>
      <c r="B407" s="313" t="str">
        <f>IFERROR(J407/J$116,"-")</f>
        <v>-</v>
      </c>
      <c r="C407" s="294">
        <f>SUM(C408:C411)</f>
        <v>0</v>
      </c>
      <c r="D407" s="297">
        <f t="shared" ref="D407:H407" si="312">SUM(D408:D411)</f>
        <v>0</v>
      </c>
      <c r="E407" s="297">
        <f t="shared" si="312"/>
        <v>0</v>
      </c>
      <c r="F407" s="297">
        <f t="shared" si="312"/>
        <v>0</v>
      </c>
      <c r="G407" s="297">
        <f t="shared" si="312"/>
        <v>0</v>
      </c>
      <c r="H407" s="296">
        <f t="shared" si="312"/>
        <v>0</v>
      </c>
      <c r="I407" s="62">
        <f t="shared" si="242"/>
        <v>0</v>
      </c>
      <c r="J407" s="62">
        <f>SUM(C407:H407)</f>
        <v>0</v>
      </c>
      <c r="K407" s="2"/>
      <c r="L407" s="187"/>
      <c r="M407" s="2"/>
    </row>
    <row r="408" spans="1:13" x14ac:dyDescent="0.3">
      <c r="A408" s="36" t="s">
        <v>491</v>
      </c>
      <c r="B408" s="307" t="str">
        <f>IFERROR(J408/J$117,"-")</f>
        <v>-</v>
      </c>
      <c r="C408" s="324">
        <v>0</v>
      </c>
      <c r="D408" s="325">
        <v>0</v>
      </c>
      <c r="E408" s="325">
        <v>0</v>
      </c>
      <c r="F408" s="325">
        <v>0</v>
      </c>
      <c r="G408" s="325">
        <v>0</v>
      </c>
      <c r="H408" s="326">
        <v>0</v>
      </c>
      <c r="I408" s="10">
        <f t="shared" si="242"/>
        <v>0</v>
      </c>
      <c r="J408" s="39">
        <f t="shared" ref="J408:J416" si="313">SUM(C408:H408)</f>
        <v>0</v>
      </c>
      <c r="K408" s="2"/>
      <c r="L408" s="186"/>
      <c r="M408" s="2"/>
    </row>
    <row r="409" spans="1:13" ht="13.15" customHeight="1" x14ac:dyDescent="0.3">
      <c r="A409" s="36" t="s">
        <v>492</v>
      </c>
      <c r="B409" s="307" t="str">
        <f>IFERROR(J409/J$118,"-")</f>
        <v>-</v>
      </c>
      <c r="C409" s="324">
        <v>0</v>
      </c>
      <c r="D409" s="324">
        <v>0</v>
      </c>
      <c r="E409" s="324">
        <v>0</v>
      </c>
      <c r="F409" s="324">
        <v>0</v>
      </c>
      <c r="G409" s="324">
        <v>0</v>
      </c>
      <c r="H409" s="326">
        <v>0</v>
      </c>
      <c r="I409" s="39">
        <f t="shared" si="242"/>
        <v>0</v>
      </c>
      <c r="J409" s="39">
        <f t="shared" si="313"/>
        <v>0</v>
      </c>
      <c r="K409" s="2"/>
      <c r="L409" s="187"/>
      <c r="M409" s="2"/>
    </row>
    <row r="410" spans="1:13" x14ac:dyDescent="0.3">
      <c r="A410" s="36" t="s">
        <v>493</v>
      </c>
      <c r="B410" s="307" t="str">
        <f>IFERROR(J410/J$119,"-")</f>
        <v>-</v>
      </c>
      <c r="C410" s="324">
        <v>0</v>
      </c>
      <c r="D410" s="324">
        <v>0</v>
      </c>
      <c r="E410" s="324">
        <v>0</v>
      </c>
      <c r="F410" s="324">
        <v>0</v>
      </c>
      <c r="G410" s="324">
        <v>0</v>
      </c>
      <c r="H410" s="326">
        <v>0</v>
      </c>
      <c r="I410" s="39">
        <f t="shared" si="242"/>
        <v>0</v>
      </c>
      <c r="J410" s="39">
        <f t="shared" si="313"/>
        <v>0</v>
      </c>
      <c r="K410" s="2"/>
      <c r="L410" s="187"/>
      <c r="M410" s="2"/>
    </row>
    <row r="411" spans="1:13" x14ac:dyDescent="0.3">
      <c r="A411" s="36" t="s">
        <v>494</v>
      </c>
      <c r="B411" s="307" t="str">
        <f>IFERROR(J411/J$120,"-")</f>
        <v>-</v>
      </c>
      <c r="C411" s="324">
        <v>0</v>
      </c>
      <c r="D411" s="324">
        <v>0</v>
      </c>
      <c r="E411" s="324">
        <v>0</v>
      </c>
      <c r="F411" s="324">
        <v>0</v>
      </c>
      <c r="G411" s="324">
        <v>0</v>
      </c>
      <c r="H411" s="326">
        <v>0</v>
      </c>
      <c r="I411" s="39">
        <f t="shared" si="242"/>
        <v>0</v>
      </c>
      <c r="J411" s="39">
        <f t="shared" si="313"/>
        <v>0</v>
      </c>
      <c r="K411" s="2"/>
      <c r="L411" s="187"/>
      <c r="M411" s="2"/>
    </row>
    <row r="412" spans="1:13" x14ac:dyDescent="0.3">
      <c r="A412" s="116" t="s">
        <v>272</v>
      </c>
      <c r="B412" s="313">
        <f>IFERROR(J412/J$121,"-")</f>
        <v>760.12692443088326</v>
      </c>
      <c r="C412" s="294">
        <f>SUM(C413:C416)</f>
        <v>7957.5144508670519</v>
      </c>
      <c r="D412" s="297">
        <f t="shared" ref="D412:H412" si="314">SUM(D413:D416)</f>
        <v>7957.5144508670519</v>
      </c>
      <c r="E412" s="297">
        <f t="shared" si="314"/>
        <v>7957.5144508670519</v>
      </c>
      <c r="F412" s="297">
        <f t="shared" si="314"/>
        <v>9229.923984480165</v>
      </c>
      <c r="G412" s="297">
        <f t="shared" si="314"/>
        <v>10127.745664739885</v>
      </c>
      <c r="H412" s="296">
        <f t="shared" si="314"/>
        <v>10551.882175944254</v>
      </c>
      <c r="I412" s="62">
        <f t="shared" si="242"/>
        <v>8963.6825296275765</v>
      </c>
      <c r="J412" s="62">
        <f t="shared" si="313"/>
        <v>53782.095177765455</v>
      </c>
      <c r="K412" s="2"/>
      <c r="L412" s="195"/>
      <c r="M412" s="2"/>
    </row>
    <row r="413" spans="1:13" x14ac:dyDescent="0.3">
      <c r="A413" s="36" t="s">
        <v>491</v>
      </c>
      <c r="B413" s="307">
        <f>IFERROR(J413/J$122,"-")</f>
        <v>723.41040462427736</v>
      </c>
      <c r="C413" s="324">
        <v>7957.5144508670519</v>
      </c>
      <c r="D413" s="324">
        <v>7957.5144508670519</v>
      </c>
      <c r="E413" s="324">
        <v>7957.5144508670519</v>
      </c>
      <c r="F413" s="324">
        <v>7957.5144508670519</v>
      </c>
      <c r="G413" s="324">
        <v>7957.5144508670519</v>
      </c>
      <c r="H413" s="326">
        <v>7957.5144508670519</v>
      </c>
      <c r="I413" s="39">
        <f t="shared" si="242"/>
        <v>7957.5144508670519</v>
      </c>
      <c r="J413" s="39">
        <f t="shared" si="313"/>
        <v>47745.08670520231</v>
      </c>
      <c r="K413" s="2"/>
      <c r="L413" s="187"/>
      <c r="M413" s="2"/>
    </row>
    <row r="414" spans="1:13" x14ac:dyDescent="0.3">
      <c r="A414" s="36" t="s">
        <v>492</v>
      </c>
      <c r="B414" s="307" t="str">
        <f>IFERROR(J414/J$123,"-")</f>
        <v>-</v>
      </c>
      <c r="C414" s="324">
        <v>0</v>
      </c>
      <c r="D414" s="324">
        <v>0</v>
      </c>
      <c r="E414" s="324">
        <v>0</v>
      </c>
      <c r="F414" s="324">
        <v>0</v>
      </c>
      <c r="G414" s="324">
        <v>0</v>
      </c>
      <c r="H414" s="326">
        <v>0</v>
      </c>
      <c r="I414" s="39">
        <f t="shared" si="242"/>
        <v>0</v>
      </c>
      <c r="J414" s="39">
        <f t="shared" si="313"/>
        <v>0</v>
      </c>
      <c r="K414" s="2"/>
      <c r="L414" s="187"/>
      <c r="M414" s="2"/>
    </row>
    <row r="415" spans="1:13" x14ac:dyDescent="0.3">
      <c r="A415" s="36" t="s">
        <v>493</v>
      </c>
      <c r="B415" s="307" t="str">
        <f>IFERROR(J415/J$124,"-")</f>
        <v>-</v>
      </c>
      <c r="C415" s="324">
        <v>0</v>
      </c>
      <c r="D415" s="324">
        <v>0</v>
      </c>
      <c r="E415" s="324">
        <v>0</v>
      </c>
      <c r="F415" s="324">
        <v>0</v>
      </c>
      <c r="G415" s="324">
        <v>0</v>
      </c>
      <c r="H415" s="326">
        <v>0</v>
      </c>
      <c r="I415" s="39">
        <f t="shared" si="242"/>
        <v>0</v>
      </c>
      <c r="J415" s="39">
        <f t="shared" si="313"/>
        <v>0</v>
      </c>
      <c r="K415" s="2"/>
      <c r="L415" s="187"/>
      <c r="M415" s="2"/>
    </row>
    <row r="416" spans="1:13" x14ac:dyDescent="0.3">
      <c r="A416" s="59" t="s">
        <v>494</v>
      </c>
      <c r="B416" s="498">
        <f>IFERROR(J416/J$125,"-")</f>
        <v>1269.853506297766</v>
      </c>
      <c r="C416" s="330">
        <v>0</v>
      </c>
      <c r="D416" s="330">
        <v>0</v>
      </c>
      <c r="E416" s="330">
        <v>0</v>
      </c>
      <c r="F416" s="330">
        <v>1272.4095336131127</v>
      </c>
      <c r="G416" s="330">
        <v>2170.2312138728325</v>
      </c>
      <c r="H416" s="331">
        <v>2594.3677250772034</v>
      </c>
      <c r="I416" s="229">
        <f t="shared" si="242"/>
        <v>1006.1680787605247</v>
      </c>
      <c r="J416" s="229">
        <f t="shared" si="313"/>
        <v>6037.0084725631486</v>
      </c>
      <c r="K416" s="2"/>
      <c r="L416" s="202"/>
      <c r="M416" s="2"/>
    </row>
    <row r="417" spans="1:13" x14ac:dyDescent="0.3">
      <c r="A417" s="116" t="s">
        <v>274</v>
      </c>
      <c r="B417" s="313">
        <f>IFERROR(J417/J$126,"-")</f>
        <v>692.96206123671902</v>
      </c>
      <c r="C417" s="294">
        <f>SUM(C418:C421)</f>
        <v>10851.156069364162</v>
      </c>
      <c r="D417" s="297">
        <f t="shared" ref="D417:H417" si="315">SUM(D418:D421)</f>
        <v>10851.156069364162</v>
      </c>
      <c r="E417" s="297">
        <f t="shared" si="315"/>
        <v>10851.156069364162</v>
      </c>
      <c r="F417" s="297">
        <f t="shared" si="315"/>
        <v>9584.6923746931661</v>
      </c>
      <c r="G417" s="297">
        <f t="shared" si="315"/>
        <v>8680.9248554913302</v>
      </c>
      <c r="H417" s="296">
        <f t="shared" si="315"/>
        <v>8258.7702906009981</v>
      </c>
      <c r="I417" s="62">
        <f t="shared" ref="I417:I426" si="316">IFERROR(AVERAGE(C417:H417),0)</f>
        <v>9846.3092881463308</v>
      </c>
      <c r="J417" s="62">
        <f>SUM(C417:H417)</f>
        <v>59077.855728877985</v>
      </c>
      <c r="K417" s="2"/>
      <c r="L417" s="187"/>
      <c r="M417" s="2"/>
    </row>
    <row r="418" spans="1:13" x14ac:dyDescent="0.3">
      <c r="A418" s="36" t="s">
        <v>491</v>
      </c>
      <c r="B418" s="307">
        <f>IFERROR(J418/J$127,"-")</f>
        <v>620.6213038212926</v>
      </c>
      <c r="C418" s="324">
        <v>3617.0520231213873</v>
      </c>
      <c r="D418" s="325">
        <v>3617.0520231213873</v>
      </c>
      <c r="E418" s="325">
        <v>3617.0520231213873</v>
      </c>
      <c r="F418" s="325">
        <v>2350.5883284503921</v>
      </c>
      <c r="G418" s="325">
        <v>1446.820809248555</v>
      </c>
      <c r="H418" s="326">
        <v>1024.6662443582231</v>
      </c>
      <c r="I418" s="10">
        <f t="shared" si="316"/>
        <v>2612.2052419035554</v>
      </c>
      <c r="J418" s="39">
        <f t="shared" ref="J418:J426" si="317">SUM(C418:H418)</f>
        <v>15673.231451421332</v>
      </c>
      <c r="K418" s="2"/>
      <c r="L418" s="186"/>
      <c r="M418" s="2"/>
    </row>
    <row r="419" spans="1:13" ht="13.15" customHeight="1" x14ac:dyDescent="0.3">
      <c r="A419" s="36" t="s">
        <v>492</v>
      </c>
      <c r="B419" s="307">
        <f>IFERROR(J419/J$128,"-")</f>
        <v>723.41040462427748</v>
      </c>
      <c r="C419" s="324">
        <v>7234.1040462427745</v>
      </c>
      <c r="D419" s="324">
        <v>7234.1040462427745</v>
      </c>
      <c r="E419" s="324">
        <v>7234.1040462427745</v>
      </c>
      <c r="F419" s="324">
        <v>7234.1040462427745</v>
      </c>
      <c r="G419" s="324">
        <v>7234.1040462427745</v>
      </c>
      <c r="H419" s="326">
        <v>7234.1040462427745</v>
      </c>
      <c r="I419" s="39">
        <f t="shared" si="316"/>
        <v>7234.1040462427745</v>
      </c>
      <c r="J419" s="39">
        <f t="shared" si="317"/>
        <v>43404.624277456649</v>
      </c>
      <c r="K419" s="2"/>
      <c r="L419" s="187"/>
      <c r="M419" s="2"/>
    </row>
    <row r="420" spans="1:13" x14ac:dyDescent="0.3">
      <c r="A420" s="36" t="s">
        <v>493</v>
      </c>
      <c r="B420" s="307" t="str">
        <f>IFERROR(J420/J$129,"-")</f>
        <v>-</v>
      </c>
      <c r="C420" s="324">
        <v>0</v>
      </c>
      <c r="D420" s="324">
        <v>0</v>
      </c>
      <c r="E420" s="324">
        <v>0</v>
      </c>
      <c r="F420" s="324">
        <v>0</v>
      </c>
      <c r="G420" s="324">
        <v>0</v>
      </c>
      <c r="H420" s="326">
        <v>0</v>
      </c>
      <c r="I420" s="39">
        <f t="shared" si="316"/>
        <v>0</v>
      </c>
      <c r="J420" s="39">
        <f t="shared" si="317"/>
        <v>0</v>
      </c>
      <c r="K420" s="2"/>
      <c r="L420" s="187"/>
      <c r="M420" s="2"/>
    </row>
    <row r="421" spans="1:13" x14ac:dyDescent="0.3">
      <c r="A421" s="36" t="s">
        <v>494</v>
      </c>
      <c r="B421" s="307" t="str">
        <f>IFERROR(J421/J$130,"-")</f>
        <v>-</v>
      </c>
      <c r="C421" s="324">
        <v>0</v>
      </c>
      <c r="D421" s="324">
        <v>0</v>
      </c>
      <c r="E421" s="324">
        <v>0</v>
      </c>
      <c r="F421" s="324">
        <v>0</v>
      </c>
      <c r="G421" s="324">
        <v>0</v>
      </c>
      <c r="H421" s="326">
        <v>0</v>
      </c>
      <c r="I421" s="39">
        <f t="shared" si="316"/>
        <v>0</v>
      </c>
      <c r="J421" s="39">
        <f t="shared" si="317"/>
        <v>0</v>
      </c>
      <c r="K421" s="2"/>
      <c r="L421" s="187"/>
      <c r="M421" s="2"/>
    </row>
    <row r="422" spans="1:13" x14ac:dyDescent="0.3">
      <c r="A422" s="116" t="s">
        <v>462</v>
      </c>
      <c r="B422" s="313" t="str">
        <f>IFERROR(J422/J$131,"-")</f>
        <v>-</v>
      </c>
      <c r="C422" s="294">
        <f>SUM(C423:C426)</f>
        <v>0</v>
      </c>
      <c r="D422" s="297">
        <f t="shared" ref="D422:H422" si="318">SUM(D423:D426)</f>
        <v>0</v>
      </c>
      <c r="E422" s="297">
        <f t="shared" si="318"/>
        <v>0</v>
      </c>
      <c r="F422" s="297">
        <f t="shared" si="318"/>
        <v>0</v>
      </c>
      <c r="G422" s="297">
        <f t="shared" si="318"/>
        <v>0</v>
      </c>
      <c r="H422" s="296">
        <f t="shared" si="318"/>
        <v>0</v>
      </c>
      <c r="I422" s="62">
        <f t="shared" si="316"/>
        <v>0</v>
      </c>
      <c r="J422" s="62">
        <f t="shared" si="317"/>
        <v>0</v>
      </c>
      <c r="K422" s="2"/>
      <c r="L422" s="195"/>
      <c r="M422" s="2"/>
    </row>
    <row r="423" spans="1:13" x14ac:dyDescent="0.3">
      <c r="A423" s="36" t="s">
        <v>491</v>
      </c>
      <c r="B423" s="307" t="str">
        <f>IFERROR(J423/J$132,"-")</f>
        <v>-</v>
      </c>
      <c r="C423" s="324">
        <v>0</v>
      </c>
      <c r="D423" s="324">
        <v>0</v>
      </c>
      <c r="E423" s="324">
        <v>0</v>
      </c>
      <c r="F423" s="324">
        <v>0</v>
      </c>
      <c r="G423" s="324">
        <v>0</v>
      </c>
      <c r="H423" s="326">
        <v>0</v>
      </c>
      <c r="I423" s="39">
        <f t="shared" si="316"/>
        <v>0</v>
      </c>
      <c r="J423" s="39">
        <f t="shared" si="317"/>
        <v>0</v>
      </c>
      <c r="K423" s="2"/>
      <c r="L423" s="187"/>
      <c r="M423" s="2"/>
    </row>
    <row r="424" spans="1:13" x14ac:dyDescent="0.3">
      <c r="A424" s="36" t="s">
        <v>492</v>
      </c>
      <c r="B424" s="307" t="str">
        <f>IFERROR(J424/J$133,"-")</f>
        <v>-</v>
      </c>
      <c r="C424" s="324">
        <v>0</v>
      </c>
      <c r="D424" s="324">
        <v>0</v>
      </c>
      <c r="E424" s="324">
        <v>0</v>
      </c>
      <c r="F424" s="324">
        <v>0</v>
      </c>
      <c r="G424" s="324">
        <v>0</v>
      </c>
      <c r="H424" s="326">
        <v>0</v>
      </c>
      <c r="I424" s="39">
        <f t="shared" si="316"/>
        <v>0</v>
      </c>
      <c r="J424" s="39">
        <f t="shared" si="317"/>
        <v>0</v>
      </c>
      <c r="K424" s="2"/>
      <c r="L424" s="187"/>
      <c r="M424" s="2"/>
    </row>
    <row r="425" spans="1:13" x14ac:dyDescent="0.3">
      <c r="A425" s="36" t="s">
        <v>493</v>
      </c>
      <c r="B425" s="307" t="str">
        <f>IFERROR(J425/J$134,"-")</f>
        <v>-</v>
      </c>
      <c r="C425" s="324">
        <v>0</v>
      </c>
      <c r="D425" s="324">
        <v>0</v>
      </c>
      <c r="E425" s="324">
        <v>0</v>
      </c>
      <c r="F425" s="324">
        <v>0</v>
      </c>
      <c r="G425" s="324">
        <v>0</v>
      </c>
      <c r="H425" s="326">
        <v>0</v>
      </c>
      <c r="I425" s="39">
        <f t="shared" si="316"/>
        <v>0</v>
      </c>
      <c r="J425" s="39">
        <f t="shared" si="317"/>
        <v>0</v>
      </c>
      <c r="K425" s="2"/>
      <c r="L425" s="187"/>
      <c r="M425" s="2"/>
    </row>
    <row r="426" spans="1:13" x14ac:dyDescent="0.3">
      <c r="A426" s="59" t="s">
        <v>494</v>
      </c>
      <c r="B426" s="498" t="str">
        <f>IFERROR(J426/J$135,"-")</f>
        <v>-</v>
      </c>
      <c r="C426" s="330">
        <v>0</v>
      </c>
      <c r="D426" s="330">
        <v>0</v>
      </c>
      <c r="E426" s="330">
        <v>0</v>
      </c>
      <c r="F426" s="330">
        <v>0</v>
      </c>
      <c r="G426" s="330">
        <v>0</v>
      </c>
      <c r="H426" s="331">
        <v>0</v>
      </c>
      <c r="I426" s="229">
        <f t="shared" si="316"/>
        <v>0</v>
      </c>
      <c r="J426" s="229">
        <f t="shared" si="317"/>
        <v>0</v>
      </c>
      <c r="K426" s="2"/>
      <c r="L426" s="202"/>
      <c r="M426" s="2"/>
    </row>
    <row r="427" spans="1:13" x14ac:dyDescent="0.3">
      <c r="A427" s="115" t="s">
        <v>368</v>
      </c>
      <c r="B427" s="53"/>
      <c r="C427" s="223">
        <f>SUM(C428:C434)</f>
        <v>240000</v>
      </c>
      <c r="D427" s="221">
        <f t="shared" ref="D427:H427" si="319">SUM(D428:D434)</f>
        <v>240000</v>
      </c>
      <c r="E427" s="221">
        <f t="shared" si="319"/>
        <v>240000</v>
      </c>
      <c r="F427" s="221">
        <f t="shared" si="319"/>
        <v>240000</v>
      </c>
      <c r="G427" s="221">
        <f t="shared" si="319"/>
        <v>240000</v>
      </c>
      <c r="H427" s="222">
        <f t="shared" si="319"/>
        <v>240000</v>
      </c>
      <c r="I427" s="301">
        <f t="shared" si="242"/>
        <v>240000</v>
      </c>
      <c r="J427" s="301">
        <f>SUM(C427:H427)</f>
        <v>1440000</v>
      </c>
      <c r="K427" s="2"/>
      <c r="L427" s="195"/>
      <c r="M427" s="2"/>
    </row>
    <row r="428" spans="1:13" x14ac:dyDescent="0.3">
      <c r="A428" s="345" t="s">
        <v>510</v>
      </c>
      <c r="B428" s="37">
        <f>IFERROR(J428/J$136,"-")</f>
        <v>1155.0327705191874</v>
      </c>
      <c r="C428" s="324">
        <v>205000</v>
      </c>
      <c r="D428" s="325">
        <v>205000</v>
      </c>
      <c r="E428" s="325">
        <v>205000</v>
      </c>
      <c r="F428" s="325">
        <v>205000</v>
      </c>
      <c r="G428" s="325">
        <v>205000</v>
      </c>
      <c r="H428" s="326">
        <v>205000</v>
      </c>
      <c r="I428" s="10">
        <f t="shared" si="242"/>
        <v>205000</v>
      </c>
      <c r="J428" s="39">
        <f t="shared" ref="J428:J434" si="320">SUM(C428:H428)</f>
        <v>1230000</v>
      </c>
      <c r="K428" s="2"/>
      <c r="L428" s="186"/>
      <c r="M428" s="2"/>
    </row>
    <row r="429" spans="1:13" ht="13.15" customHeight="1" x14ac:dyDescent="0.3">
      <c r="A429" s="345" t="s">
        <v>511</v>
      </c>
      <c r="B429" s="37">
        <f t="shared" ref="B429:B434" si="321">IFERROR(J429/J$136,"-")</f>
        <v>197.20071691791006</v>
      </c>
      <c r="C429" s="324">
        <v>35000</v>
      </c>
      <c r="D429" s="324">
        <v>35000</v>
      </c>
      <c r="E429" s="324">
        <v>35000</v>
      </c>
      <c r="F429" s="324">
        <v>35000</v>
      </c>
      <c r="G429" s="324">
        <v>35000</v>
      </c>
      <c r="H429" s="326">
        <v>35000</v>
      </c>
      <c r="I429" s="39">
        <f t="shared" si="242"/>
        <v>35000</v>
      </c>
      <c r="J429" s="39">
        <f t="shared" si="320"/>
        <v>210000</v>
      </c>
      <c r="K429" s="2"/>
      <c r="L429" s="187"/>
      <c r="M429" s="2"/>
    </row>
    <row r="430" spans="1:13" x14ac:dyDescent="0.3">
      <c r="A430" s="345"/>
      <c r="B430" s="37">
        <f t="shared" si="321"/>
        <v>0</v>
      </c>
      <c r="C430" s="324"/>
      <c r="D430" s="324"/>
      <c r="E430" s="324"/>
      <c r="F430" s="324"/>
      <c r="G430" s="324"/>
      <c r="H430" s="326"/>
      <c r="I430" s="39">
        <f t="shared" si="242"/>
        <v>0</v>
      </c>
      <c r="J430" s="39">
        <f t="shared" si="320"/>
        <v>0</v>
      </c>
      <c r="K430" s="2"/>
      <c r="L430" s="187"/>
      <c r="M430" s="2"/>
    </row>
    <row r="431" spans="1:13" x14ac:dyDescent="0.3">
      <c r="A431" s="345"/>
      <c r="B431" s="37">
        <f t="shared" si="321"/>
        <v>0</v>
      </c>
      <c r="C431" s="324"/>
      <c r="D431" s="324"/>
      <c r="E431" s="324"/>
      <c r="F431" s="324"/>
      <c r="G431" s="324"/>
      <c r="H431" s="326"/>
      <c r="I431" s="39">
        <f t="shared" si="242"/>
        <v>0</v>
      </c>
      <c r="J431" s="39">
        <f t="shared" si="320"/>
        <v>0</v>
      </c>
      <c r="K431" s="2"/>
      <c r="L431" s="187"/>
      <c r="M431" s="2"/>
    </row>
    <row r="432" spans="1:13" x14ac:dyDescent="0.3">
      <c r="A432" s="345"/>
      <c r="B432" s="37">
        <f t="shared" si="321"/>
        <v>0</v>
      </c>
      <c r="C432" s="324"/>
      <c r="D432" s="324"/>
      <c r="E432" s="324"/>
      <c r="F432" s="324"/>
      <c r="G432" s="324"/>
      <c r="H432" s="326"/>
      <c r="I432" s="39">
        <f t="shared" si="242"/>
        <v>0</v>
      </c>
      <c r="J432" s="39">
        <f t="shared" si="320"/>
        <v>0</v>
      </c>
      <c r="K432" s="2"/>
      <c r="L432" s="187"/>
      <c r="M432" s="2"/>
    </row>
    <row r="433" spans="1:13" x14ac:dyDescent="0.3">
      <c r="A433" s="345"/>
      <c r="B433" s="37">
        <f t="shared" si="321"/>
        <v>0</v>
      </c>
      <c r="C433" s="324"/>
      <c r="D433" s="324"/>
      <c r="E433" s="324"/>
      <c r="F433" s="324"/>
      <c r="G433" s="324"/>
      <c r="H433" s="326"/>
      <c r="I433" s="39">
        <f t="shared" si="242"/>
        <v>0</v>
      </c>
      <c r="J433" s="39">
        <f t="shared" si="320"/>
        <v>0</v>
      </c>
      <c r="K433" s="2"/>
      <c r="L433" s="187"/>
      <c r="M433" s="2"/>
    </row>
    <row r="434" spans="1:13" x14ac:dyDescent="0.3">
      <c r="A434" s="346"/>
      <c r="B434" s="79">
        <f t="shared" si="321"/>
        <v>0</v>
      </c>
      <c r="C434" s="330"/>
      <c r="D434" s="330"/>
      <c r="E434" s="330"/>
      <c r="F434" s="330"/>
      <c r="G434" s="330"/>
      <c r="H434" s="331"/>
      <c r="I434" s="229">
        <f t="shared" si="242"/>
        <v>0</v>
      </c>
      <c r="J434" s="229">
        <f t="shared" si="320"/>
        <v>0</v>
      </c>
      <c r="K434" s="2"/>
      <c r="L434" s="202"/>
      <c r="M434" s="2"/>
    </row>
    <row r="435" spans="1:13" x14ac:dyDescent="0.3">
      <c r="A435" s="18" t="s">
        <v>8</v>
      </c>
      <c r="B435" s="164">
        <f>IFERROR(J365/J$136,"-")</f>
        <v>0</v>
      </c>
      <c r="C435" s="60">
        <f t="shared" ref="C435:H435" si="322">C334+C365+C396+C427</f>
        <v>1015787.5447739979</v>
      </c>
      <c r="D435" s="19">
        <f t="shared" si="322"/>
        <v>1015739.6650566157</v>
      </c>
      <c r="E435" s="19">
        <f t="shared" si="322"/>
        <v>1015715.4271913851</v>
      </c>
      <c r="F435" s="19">
        <f t="shared" si="322"/>
        <v>1015630.3848285693</v>
      </c>
      <c r="G435" s="19">
        <f t="shared" si="322"/>
        <v>1015666.6865662213</v>
      </c>
      <c r="H435" s="35">
        <f t="shared" si="322"/>
        <v>1018219.9366537336</v>
      </c>
      <c r="I435" s="35">
        <f>IFERROR(AVERAGE(C435:H435),0)</f>
        <v>1016126.6075117538</v>
      </c>
      <c r="J435" s="35">
        <f>SUM(C435:H435)</f>
        <v>6096759.645070523</v>
      </c>
      <c r="K435" s="2"/>
      <c r="L435" s="195"/>
      <c r="M435" s="2"/>
    </row>
    <row r="436" spans="1:13" x14ac:dyDescent="0.3">
      <c r="C436" s="163"/>
      <c r="D436" s="163"/>
      <c r="E436" s="163"/>
      <c r="F436" s="163"/>
      <c r="G436" s="163"/>
      <c r="H436" s="163"/>
      <c r="I436" s="163"/>
      <c r="J436" s="163"/>
      <c r="K436" s="2"/>
      <c r="M436" s="2"/>
    </row>
    <row r="437" spans="1:13" x14ac:dyDescent="0.3">
      <c r="C437" s="163"/>
      <c r="D437" s="163"/>
      <c r="E437" s="163"/>
      <c r="F437" s="163"/>
      <c r="G437" s="163"/>
      <c r="H437" s="163"/>
      <c r="I437" s="163"/>
      <c r="J437" s="163"/>
      <c r="K437" s="2"/>
      <c r="M437" s="2"/>
    </row>
    <row r="438" spans="1:13" x14ac:dyDescent="0.3">
      <c r="A438" s="21" t="s">
        <v>83</v>
      </c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2"/>
    </row>
    <row r="439" spans="1:13" ht="14.5" x14ac:dyDescent="0.35">
      <c r="C439" s="2"/>
      <c r="D439" s="2"/>
      <c r="E439" s="2"/>
      <c r="F439" s="2"/>
      <c r="G439" s="2"/>
      <c r="H439" s="2"/>
      <c r="I439" s="2"/>
      <c r="J439" s="2"/>
      <c r="K439" s="2"/>
      <c r="L439"/>
      <c r="M439" s="2"/>
    </row>
    <row r="440" spans="1:13" x14ac:dyDescent="0.3">
      <c r="A440" s="42" t="s">
        <v>74</v>
      </c>
      <c r="B440" s="43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2"/>
    </row>
    <row r="441" spans="1:13" x14ac:dyDescent="0.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52.15" customHeight="1" x14ac:dyDescent="0.3">
      <c r="A442" s="45" t="s">
        <v>415</v>
      </c>
      <c r="B442" s="46" t="s">
        <v>188</v>
      </c>
      <c r="C442" s="47" t="s">
        <v>20</v>
      </c>
      <c r="D442" s="47" t="s">
        <v>79</v>
      </c>
      <c r="E442" s="2"/>
      <c r="F442" s="2"/>
      <c r="G442" s="2"/>
      <c r="H442" s="2"/>
      <c r="I442" s="2"/>
      <c r="J442" s="2"/>
      <c r="K442" s="2"/>
      <c r="L442" s="2"/>
      <c r="M442" s="2"/>
    </row>
    <row r="443" spans="1:13" x14ac:dyDescent="0.3">
      <c r="A443" s="36" t="s">
        <v>289</v>
      </c>
      <c r="B443" s="574">
        <f>ROUND(C443/1.47,2)</f>
        <v>26.08</v>
      </c>
      <c r="C443" s="573">
        <f>I473/I455</f>
        <v>38.342104721730024</v>
      </c>
      <c r="D443" s="328">
        <v>1593</v>
      </c>
      <c r="E443" s="2"/>
      <c r="F443" s="2"/>
      <c r="G443" s="2"/>
      <c r="H443" s="2"/>
      <c r="I443" s="2"/>
      <c r="J443" s="2"/>
      <c r="K443" s="2"/>
      <c r="L443" s="2"/>
      <c r="M443" s="2"/>
    </row>
    <row r="444" spans="1:13" x14ac:dyDescent="0.3">
      <c r="A444" s="36" t="s">
        <v>411</v>
      </c>
      <c r="B444" s="333">
        <f>ROUND(C444/1.47,2)</f>
        <v>21.53</v>
      </c>
      <c r="C444" s="573">
        <f>I474/I456</f>
        <v>31.656444382967695</v>
      </c>
      <c r="D444" s="328">
        <v>1593</v>
      </c>
      <c r="E444" s="2"/>
      <c r="F444" s="2"/>
      <c r="G444" s="2"/>
      <c r="H444" s="2"/>
      <c r="I444" s="2"/>
      <c r="J444" s="2"/>
      <c r="K444" s="2"/>
      <c r="L444" s="2"/>
      <c r="M444" s="2"/>
    </row>
    <row r="445" spans="1:13" x14ac:dyDescent="0.3">
      <c r="A445" s="36" t="s">
        <v>412</v>
      </c>
      <c r="B445" s="333">
        <v>0</v>
      </c>
      <c r="C445" s="573">
        <v>0</v>
      </c>
      <c r="D445" s="328">
        <v>0</v>
      </c>
      <c r="E445" s="2"/>
      <c r="F445" s="2"/>
      <c r="G445" s="2"/>
      <c r="H445" s="2"/>
      <c r="I445" s="2"/>
      <c r="J445" s="2"/>
      <c r="K445" s="2"/>
      <c r="L445" s="2"/>
      <c r="M445" s="2"/>
    </row>
    <row r="446" spans="1:13" x14ac:dyDescent="0.3">
      <c r="A446" s="36"/>
      <c r="B446" s="333"/>
      <c r="C446" s="573"/>
      <c r="D446" s="328"/>
      <c r="E446" s="2"/>
      <c r="F446" s="2"/>
      <c r="G446" s="2"/>
      <c r="H446" s="2"/>
      <c r="I446" s="2"/>
      <c r="J446" s="2"/>
      <c r="K446" s="2"/>
      <c r="L446" s="2"/>
      <c r="M446" s="2"/>
    </row>
    <row r="447" spans="1:13" x14ac:dyDescent="0.3">
      <c r="A447" s="36"/>
      <c r="B447" s="333"/>
      <c r="C447" s="334"/>
      <c r="D447" s="334"/>
      <c r="E447" s="2"/>
      <c r="F447" s="2"/>
      <c r="G447" s="2"/>
      <c r="H447" s="2"/>
      <c r="I447" s="2"/>
      <c r="J447" s="2"/>
      <c r="K447" s="2"/>
      <c r="L447" s="2"/>
      <c r="M447" s="2"/>
    </row>
    <row r="448" spans="1:13" x14ac:dyDescent="0.3">
      <c r="A448" s="91"/>
      <c r="B448" s="335"/>
      <c r="C448" s="336"/>
      <c r="D448" s="336"/>
      <c r="E448" s="2"/>
      <c r="F448" s="2"/>
      <c r="G448" s="2"/>
      <c r="H448" s="2"/>
      <c r="I448" s="2"/>
      <c r="J448" s="2"/>
      <c r="K448" s="2"/>
      <c r="L448" s="2"/>
      <c r="M448" s="2"/>
    </row>
    <row r="449" spans="1:12" x14ac:dyDescent="0.3">
      <c r="B449" s="11"/>
      <c r="C449" s="550"/>
      <c r="J449" s="2"/>
      <c r="L449" s="2"/>
    </row>
    <row r="450" spans="1:12" ht="26" x14ac:dyDescent="0.3">
      <c r="A450" s="693" t="s">
        <v>416</v>
      </c>
      <c r="B450" s="678"/>
      <c r="C450" s="3">
        <f>Annee</f>
        <v>2024</v>
      </c>
      <c r="D450" s="291">
        <f>C450+1</f>
        <v>2025</v>
      </c>
      <c r="E450" s="291">
        <f t="shared" ref="E450:G450" si="323">D450+1</f>
        <v>2026</v>
      </c>
      <c r="F450" s="291">
        <f t="shared" si="323"/>
        <v>2027</v>
      </c>
      <c r="G450" s="291">
        <f t="shared" si="323"/>
        <v>2028</v>
      </c>
      <c r="H450" s="295">
        <f>G450+1</f>
        <v>2029</v>
      </c>
      <c r="I450" s="179" t="s">
        <v>271</v>
      </c>
      <c r="J450" s="4" t="s">
        <v>62</v>
      </c>
      <c r="L450" s="185" t="s">
        <v>305</v>
      </c>
    </row>
    <row r="451" spans="1:12" x14ac:dyDescent="0.3">
      <c r="A451" s="692"/>
      <c r="B451" s="679"/>
      <c r="C451" s="77">
        <v>12</v>
      </c>
      <c r="D451" s="77">
        <v>12</v>
      </c>
      <c r="E451" s="77">
        <v>12</v>
      </c>
      <c r="F451" s="77">
        <v>12</v>
      </c>
      <c r="G451" s="77">
        <v>12</v>
      </c>
      <c r="H451" s="77">
        <v>12</v>
      </c>
      <c r="I451" s="78">
        <f t="shared" ref="I451:I457" si="324">IFERROR(AVERAGE(C451:H451),0)</f>
        <v>12</v>
      </c>
      <c r="J451" s="78">
        <f t="shared" ref="J451:J457" si="325">SUM(C451:H451)</f>
        <v>72</v>
      </c>
      <c r="L451" s="193"/>
    </row>
    <row r="452" spans="1:12" x14ac:dyDescent="0.3">
      <c r="A452" s="25" t="s">
        <v>434</v>
      </c>
      <c r="B452" s="37"/>
      <c r="C452" s="324">
        <v>210266.20000000036</v>
      </c>
      <c r="D452" s="324">
        <v>210266.20000000036</v>
      </c>
      <c r="E452" s="324">
        <v>210266.20000000036</v>
      </c>
      <c r="F452" s="324">
        <v>210266.20000000036</v>
      </c>
      <c r="G452" s="324">
        <v>210266.20000000036</v>
      </c>
      <c r="H452" s="324">
        <v>210266.20000000036</v>
      </c>
      <c r="I452" s="14">
        <f>IFERROR(AVERAGE(C452:H452),0)</f>
        <v>210266.20000000039</v>
      </c>
      <c r="J452" s="39">
        <f t="shared" ref="J452" si="326">SUM(C452:H452)</f>
        <v>1261597.2000000023</v>
      </c>
      <c r="L452" s="187"/>
    </row>
    <row r="453" spans="1:12" x14ac:dyDescent="0.3">
      <c r="A453" s="25" t="s">
        <v>435</v>
      </c>
      <c r="B453" s="37"/>
      <c r="C453" s="324">
        <v>353706.32458745874</v>
      </c>
      <c r="D453" s="324">
        <v>353706.32458745874</v>
      </c>
      <c r="E453" s="324">
        <v>353706.3245874588</v>
      </c>
      <c r="F453" s="324">
        <v>353706.32458745874</v>
      </c>
      <c r="G453" s="324">
        <v>353706.32458745869</v>
      </c>
      <c r="H453" s="324">
        <v>353706.3245874588</v>
      </c>
      <c r="I453" s="14">
        <f t="shared" ref="I453:I454" si="327">IFERROR(AVERAGE(C453:H453),0)</f>
        <v>353706.32458745874</v>
      </c>
      <c r="J453" s="39">
        <f t="shared" ref="J453:J456" si="328">SUM(C453:H453)</f>
        <v>2122237.9475247525</v>
      </c>
      <c r="L453" s="187"/>
    </row>
    <row r="454" spans="1:12" x14ac:dyDescent="0.3">
      <c r="A454" s="25" t="s">
        <v>447</v>
      </c>
      <c r="B454" s="37"/>
      <c r="C454" s="324">
        <v>298593.01093574113</v>
      </c>
      <c r="D454" s="324">
        <v>298593.01093574124</v>
      </c>
      <c r="E454" s="324">
        <v>298593.01093574119</v>
      </c>
      <c r="F454" s="324">
        <v>298593.01093574124</v>
      </c>
      <c r="G454" s="324">
        <v>298593.01093574124</v>
      </c>
      <c r="H454" s="324">
        <v>298593.01093574119</v>
      </c>
      <c r="I454" s="14">
        <f t="shared" si="327"/>
        <v>298593.01093574119</v>
      </c>
      <c r="J454" s="39">
        <f t="shared" si="328"/>
        <v>1791558.0656144472</v>
      </c>
      <c r="L454" s="187"/>
    </row>
    <row r="455" spans="1:12" x14ac:dyDescent="0.3">
      <c r="A455" s="25" t="s">
        <v>448</v>
      </c>
      <c r="B455" s="37"/>
      <c r="C455" s="324">
        <v>502288.22533333319</v>
      </c>
      <c r="D455" s="324">
        <v>502288.22533333331</v>
      </c>
      <c r="E455" s="324">
        <v>502288.22533333331</v>
      </c>
      <c r="F455" s="324">
        <v>502288.22533333331</v>
      </c>
      <c r="G455" s="324">
        <v>502288.22533333325</v>
      </c>
      <c r="H455" s="324">
        <v>502288.22533333336</v>
      </c>
      <c r="I455" s="14">
        <f t="shared" ref="I455" si="329">IFERROR(AVERAGE(C455:H455),0)</f>
        <v>502288.22533333325</v>
      </c>
      <c r="J455" s="39">
        <f t="shared" ref="J455" si="330">SUM(C455:H455)</f>
        <v>3013729.3519999995</v>
      </c>
      <c r="L455" s="187"/>
    </row>
    <row r="456" spans="1:12" x14ac:dyDescent="0.3">
      <c r="A456" s="25" t="s">
        <v>413</v>
      </c>
      <c r="B456" s="37"/>
      <c r="C456" s="327">
        <f>$D$444*C462</f>
        <v>33134.400000000001</v>
      </c>
      <c r="D456" s="327">
        <f>$D$444*D462</f>
        <v>33134.400000000001</v>
      </c>
      <c r="E456" s="327">
        <f>$D$444*E462</f>
        <v>33134.400000000001</v>
      </c>
      <c r="F456" s="327">
        <f>$D$444*F462</f>
        <v>33134.400000000001</v>
      </c>
      <c r="G456" s="327">
        <f>$D$444*G462</f>
        <v>33138.752459016396</v>
      </c>
      <c r="H456" s="327">
        <f t="shared" ref="H456" si="331">$D$444*H462</f>
        <v>33134.400000000001</v>
      </c>
      <c r="I456" s="14">
        <f>IFERROR(AVERAGE(C456:H456),0)</f>
        <v>33135.125409836066</v>
      </c>
      <c r="J456" s="39">
        <f t="shared" si="328"/>
        <v>198810.7524590164</v>
      </c>
      <c r="L456" s="187"/>
    </row>
    <row r="457" spans="1:12" x14ac:dyDescent="0.3">
      <c r="A457" s="59" t="s">
        <v>414</v>
      </c>
      <c r="B457" s="79"/>
      <c r="C457" s="330">
        <v>0</v>
      </c>
      <c r="D457" s="330">
        <v>0</v>
      </c>
      <c r="E457" s="330">
        <v>0</v>
      </c>
      <c r="F457" s="330">
        <v>0</v>
      </c>
      <c r="G457" s="330">
        <v>0</v>
      </c>
      <c r="H457" s="331">
        <v>0</v>
      </c>
      <c r="I457" s="16">
        <f t="shared" si="324"/>
        <v>0</v>
      </c>
      <c r="J457" s="229">
        <f t="shared" si="325"/>
        <v>0</v>
      </c>
      <c r="L457" s="202"/>
    </row>
    <row r="458" spans="1:12" x14ac:dyDescent="0.3">
      <c r="B458" s="11"/>
      <c r="C458" s="243"/>
      <c r="J458" s="2"/>
      <c r="L458" s="2"/>
    </row>
    <row r="459" spans="1:12" ht="26" x14ac:dyDescent="0.3">
      <c r="A459" s="693" t="s">
        <v>78</v>
      </c>
      <c r="B459" s="678"/>
      <c r="C459" s="3">
        <f>Annee</f>
        <v>2024</v>
      </c>
      <c r="D459" s="291">
        <f>C459+1</f>
        <v>2025</v>
      </c>
      <c r="E459" s="291">
        <f t="shared" ref="E459:G459" si="332">D459+1</f>
        <v>2026</v>
      </c>
      <c r="F459" s="291">
        <f t="shared" si="332"/>
        <v>2027</v>
      </c>
      <c r="G459" s="291">
        <f t="shared" si="332"/>
        <v>2028</v>
      </c>
      <c r="H459" s="295">
        <f>G459+1</f>
        <v>2029</v>
      </c>
      <c r="I459" s="179" t="s">
        <v>271</v>
      </c>
      <c r="J459" s="4" t="s">
        <v>62</v>
      </c>
      <c r="L459" s="185" t="s">
        <v>305</v>
      </c>
    </row>
    <row r="460" spans="1:12" ht="14.5" customHeight="1" x14ac:dyDescent="0.3">
      <c r="A460" s="692"/>
      <c r="B460" s="679"/>
      <c r="C460" s="77">
        <v>12</v>
      </c>
      <c r="D460" s="77">
        <v>12</v>
      </c>
      <c r="E460" s="77">
        <v>12</v>
      </c>
      <c r="F460" s="77">
        <v>12</v>
      </c>
      <c r="G460" s="77">
        <v>12</v>
      </c>
      <c r="H460" s="77">
        <v>12</v>
      </c>
      <c r="I460" s="78">
        <f t="shared" ref="I460:I467" si="333">IFERROR(AVERAGE(C460:H460),0)</f>
        <v>12</v>
      </c>
      <c r="J460" s="78">
        <f t="shared" ref="J460:J467" si="334">SUM(C460:H460)</f>
        <v>72</v>
      </c>
      <c r="L460" s="193"/>
    </row>
    <row r="461" spans="1:12" x14ac:dyDescent="0.3">
      <c r="A461" s="36" t="s">
        <v>289</v>
      </c>
      <c r="B461" s="37"/>
      <c r="C461" s="338">
        <v>374.78857923497264</v>
      </c>
      <c r="D461" s="340">
        <v>375.78369863013705</v>
      </c>
      <c r="E461" s="340">
        <v>376.77821917808217</v>
      </c>
      <c r="F461" s="340">
        <v>378.29465753424654</v>
      </c>
      <c r="G461" s="340">
        <v>379.29459016393452</v>
      </c>
      <c r="H461" s="337">
        <v>380.29739726027401</v>
      </c>
      <c r="I461" s="228">
        <f t="shared" si="333"/>
        <v>377.53952366694119</v>
      </c>
      <c r="J461" s="160">
        <f t="shared" si="334"/>
        <v>2265.237142001647</v>
      </c>
      <c r="L461" s="186"/>
    </row>
    <row r="462" spans="1:12" x14ac:dyDescent="0.3">
      <c r="A462" s="36" t="s">
        <v>411</v>
      </c>
      <c r="B462" s="37"/>
      <c r="C462" s="338">
        <v>20.8</v>
      </c>
      <c r="D462" s="338">
        <v>20.8</v>
      </c>
      <c r="E462" s="338">
        <v>20.8</v>
      </c>
      <c r="F462" s="338">
        <v>20.8</v>
      </c>
      <c r="G462" s="338">
        <v>20.802732240437159</v>
      </c>
      <c r="H462" s="337">
        <v>20.8</v>
      </c>
      <c r="I462" s="160">
        <f t="shared" ref="I462:I464" si="335">IFERROR(AVERAGE(C462:H462),0)</f>
        <v>20.800455373406191</v>
      </c>
      <c r="J462" s="160">
        <f t="shared" ref="J462:J464" si="336">SUM(C462:H462)</f>
        <v>124.80273224043715</v>
      </c>
      <c r="L462" s="187"/>
    </row>
    <row r="463" spans="1:12" x14ac:dyDescent="0.3">
      <c r="A463" s="36" t="s">
        <v>412</v>
      </c>
      <c r="B463" s="37"/>
      <c r="C463" s="327">
        <v>0</v>
      </c>
      <c r="D463" s="327">
        <v>0</v>
      </c>
      <c r="E463" s="327">
        <v>0</v>
      </c>
      <c r="F463" s="327">
        <v>0</v>
      </c>
      <c r="G463" s="327">
        <v>0</v>
      </c>
      <c r="H463" s="328">
        <v>0</v>
      </c>
      <c r="I463" s="160">
        <f t="shared" ref="I463" si="337">IFERROR(AVERAGE(C463:H463),0)</f>
        <v>0</v>
      </c>
      <c r="J463" s="160">
        <f t="shared" ref="J463" si="338">SUM(C463:H463)</f>
        <v>0</v>
      </c>
      <c r="L463" s="187"/>
    </row>
    <row r="464" spans="1:12" x14ac:dyDescent="0.3">
      <c r="A464" s="36"/>
      <c r="B464" s="37"/>
      <c r="C464" s="327"/>
      <c r="D464" s="327"/>
      <c r="E464" s="327"/>
      <c r="F464" s="327"/>
      <c r="G464" s="327"/>
      <c r="H464" s="328"/>
      <c r="I464" s="160">
        <f t="shared" si="335"/>
        <v>0</v>
      </c>
      <c r="J464" s="160">
        <f t="shared" si="336"/>
        <v>0</v>
      </c>
      <c r="L464" s="187"/>
    </row>
    <row r="465" spans="1:22" x14ac:dyDescent="0.3">
      <c r="B465" s="37"/>
      <c r="C465" s="327"/>
      <c r="D465" s="327"/>
      <c r="E465" s="327"/>
      <c r="F465" s="327"/>
      <c r="G465" s="327"/>
      <c r="H465" s="328"/>
      <c r="I465" s="160">
        <f t="shared" si="333"/>
        <v>0</v>
      </c>
      <c r="J465" s="160">
        <f t="shared" si="334"/>
        <v>0</v>
      </c>
      <c r="L465" s="187"/>
    </row>
    <row r="466" spans="1:22" x14ac:dyDescent="0.3">
      <c r="A466" s="36"/>
      <c r="B466" s="37"/>
      <c r="C466" s="327"/>
      <c r="D466" s="327"/>
      <c r="E466" s="327"/>
      <c r="F466" s="327"/>
      <c r="G466" s="327"/>
      <c r="H466" s="328"/>
      <c r="I466" s="332">
        <f t="shared" si="333"/>
        <v>0</v>
      </c>
      <c r="J466" s="160">
        <f t="shared" si="334"/>
        <v>0</v>
      </c>
      <c r="L466" s="187"/>
    </row>
    <row r="467" spans="1:22" x14ac:dyDescent="0.3">
      <c r="A467" s="342" t="s">
        <v>418</v>
      </c>
      <c r="B467" s="34"/>
      <c r="C467" s="339">
        <f>SUM(C461:C466)</f>
        <v>395.58857923497266</v>
      </c>
      <c r="D467" s="341">
        <f t="shared" ref="D467:H467" si="339">SUM(D461:D466)</f>
        <v>396.58369863013706</v>
      </c>
      <c r="E467" s="341">
        <f t="shared" si="339"/>
        <v>397.57821917808218</v>
      </c>
      <c r="F467" s="341">
        <f t="shared" si="339"/>
        <v>399.09465753424655</v>
      </c>
      <c r="G467" s="341">
        <f t="shared" si="339"/>
        <v>400.09732240437165</v>
      </c>
      <c r="H467" s="161">
        <f t="shared" si="339"/>
        <v>401.09739726027402</v>
      </c>
      <c r="I467" s="159">
        <f t="shared" si="333"/>
        <v>398.33997904034737</v>
      </c>
      <c r="J467" s="161">
        <f t="shared" si="334"/>
        <v>2390.0398742420844</v>
      </c>
      <c r="L467" s="202"/>
    </row>
    <row r="468" spans="1:22" x14ac:dyDescent="0.3">
      <c r="A468" s="49"/>
      <c r="B468" s="48"/>
      <c r="C468" s="238"/>
      <c r="D468" s="238"/>
      <c r="E468" s="238"/>
      <c r="F468" s="238"/>
      <c r="G468" s="238"/>
      <c r="H468" s="238"/>
      <c r="I468" s="2"/>
      <c r="J468" s="165"/>
      <c r="L468" s="2"/>
    </row>
    <row r="469" spans="1:22" x14ac:dyDescent="0.3">
      <c r="A469" s="42" t="s">
        <v>80</v>
      </c>
      <c r="B469" s="43"/>
      <c r="C469" s="44"/>
      <c r="D469" s="44"/>
      <c r="E469" s="44"/>
      <c r="F469" s="44"/>
      <c r="G469" s="44"/>
      <c r="H469" s="44"/>
      <c r="I469" s="44"/>
      <c r="J469" s="44"/>
    </row>
    <row r="470" spans="1:22" ht="13.9" customHeight="1" x14ac:dyDescent="0.3">
      <c r="D470" s="579">
        <f>D473/C473-1</f>
        <v>6.7579630552698777E-3</v>
      </c>
      <c r="E470" s="579">
        <f>E473/D473-1</f>
        <v>3.2496763653548921E-3</v>
      </c>
      <c r="F470" s="579">
        <f>F473/E473-1</f>
        <v>8.1010269438896998E-3</v>
      </c>
      <c r="G470" s="579">
        <f>G473/F473-1</f>
        <v>6.3273212678947033E-3</v>
      </c>
      <c r="H470" s="579">
        <f>H473/G473-1</f>
        <v>6.528590553147362E-3</v>
      </c>
    </row>
    <row r="471" spans="1:22" ht="26" x14ac:dyDescent="0.3">
      <c r="A471" s="693" t="s">
        <v>417</v>
      </c>
      <c r="B471" s="678"/>
      <c r="C471" s="3">
        <f>Annee</f>
        <v>2024</v>
      </c>
      <c r="D471" s="291">
        <f>C471+1</f>
        <v>2025</v>
      </c>
      <c r="E471" s="291">
        <f t="shared" ref="E471:G471" si="340">D471+1</f>
        <v>2026</v>
      </c>
      <c r="F471" s="291">
        <f t="shared" si="340"/>
        <v>2027</v>
      </c>
      <c r="G471" s="291">
        <f t="shared" si="340"/>
        <v>2028</v>
      </c>
      <c r="H471" s="295">
        <f>G471+1</f>
        <v>2029</v>
      </c>
      <c r="I471" s="179" t="s">
        <v>271</v>
      </c>
      <c r="J471" s="4" t="s">
        <v>62</v>
      </c>
      <c r="L471" s="185" t="s">
        <v>305</v>
      </c>
    </row>
    <row r="472" spans="1:22" ht="14.5" customHeight="1" x14ac:dyDescent="0.3">
      <c r="A472" s="692"/>
      <c r="B472" s="679"/>
      <c r="C472" s="77">
        <v>12</v>
      </c>
      <c r="D472" s="77">
        <v>12</v>
      </c>
      <c r="E472" s="77">
        <v>12</v>
      </c>
      <c r="F472" s="77">
        <v>12</v>
      </c>
      <c r="G472" s="77">
        <v>12</v>
      </c>
      <c r="H472" s="77">
        <v>12</v>
      </c>
      <c r="I472" s="78">
        <f t="shared" ref="I472:I479" si="341">IFERROR(AVERAGE(C472:H472),0)</f>
        <v>12</v>
      </c>
      <c r="J472" s="78">
        <f t="shared" ref="J472:J479" si="342">SUM(C472:H472)</f>
        <v>72</v>
      </c>
      <c r="L472" s="193"/>
    </row>
    <row r="473" spans="1:22" x14ac:dyDescent="0.3">
      <c r="A473" s="36" t="s">
        <v>289</v>
      </c>
      <c r="B473" s="37"/>
      <c r="C473" s="324">
        <v>18971066.679704726</v>
      </c>
      <c r="D473" s="325">
        <v>19099272.447445232</v>
      </c>
      <c r="E473" s="325">
        <v>19161338.90171317</v>
      </c>
      <c r="F473" s="325">
        <v>19316565.424436949</v>
      </c>
      <c r="G473" s="325">
        <v>19438787.53966967</v>
      </c>
      <c r="H473" s="326">
        <v>19565695.424365796</v>
      </c>
      <c r="I473" s="10">
        <f>IFERROR(AVERAGE(C473:H473),0)</f>
        <v>19258787.736222591</v>
      </c>
      <c r="J473" s="39">
        <f t="shared" si="342"/>
        <v>115552726.41733554</v>
      </c>
      <c r="L473" s="186"/>
      <c r="U473" s="579"/>
      <c r="V473" s="579"/>
    </row>
    <row r="474" spans="1:22" x14ac:dyDescent="0.3">
      <c r="A474" s="36" t="s">
        <v>411</v>
      </c>
      <c r="B474" s="37"/>
      <c r="C474" s="324">
        <v>1023611.34986222</v>
      </c>
      <c r="D474" s="324">
        <v>1035854.1228433774</v>
      </c>
      <c r="E474" s="324">
        <v>1044460.0353062195</v>
      </c>
      <c r="F474" s="324">
        <v>1055578.2632485712</v>
      </c>
      <c r="G474" s="324">
        <v>1068704.1041896229</v>
      </c>
      <c r="H474" s="326">
        <v>1065433.6525047992</v>
      </c>
      <c r="I474" s="39">
        <f t="shared" ref="I474:I476" si="343">IFERROR(AVERAGE(C474:H474),0)</f>
        <v>1048940.2546591351</v>
      </c>
      <c r="J474" s="39">
        <f t="shared" ref="J474:J476" si="344">SUM(C474:H474)</f>
        <v>6293641.5279548103</v>
      </c>
      <c r="L474" s="187"/>
    </row>
    <row r="475" spans="1:22" x14ac:dyDescent="0.3">
      <c r="A475" s="36" t="s">
        <v>412</v>
      </c>
      <c r="B475" s="37"/>
      <c r="C475" s="324">
        <v>0</v>
      </c>
      <c r="D475" s="324">
        <v>0</v>
      </c>
      <c r="E475" s="324">
        <v>0</v>
      </c>
      <c r="F475" s="324">
        <v>0</v>
      </c>
      <c r="G475" s="324">
        <v>0</v>
      </c>
      <c r="H475" s="326">
        <v>0</v>
      </c>
      <c r="I475" s="39">
        <f t="shared" ref="I475" si="345">IFERROR(AVERAGE(C475:H475),0)</f>
        <v>0</v>
      </c>
      <c r="J475" s="39">
        <f t="shared" ref="J475" si="346">SUM(C475:H475)</f>
        <v>0</v>
      </c>
      <c r="L475" s="187"/>
    </row>
    <row r="476" spans="1:22" x14ac:dyDescent="0.3">
      <c r="A476" s="36"/>
      <c r="B476" s="37"/>
      <c r="C476" s="327"/>
      <c r="D476" s="327"/>
      <c r="E476" s="327"/>
      <c r="F476" s="327"/>
      <c r="G476" s="327"/>
      <c r="H476" s="328"/>
      <c r="I476" s="39">
        <f t="shared" si="343"/>
        <v>0</v>
      </c>
      <c r="J476" s="39">
        <f t="shared" si="344"/>
        <v>0</v>
      </c>
      <c r="L476" s="187"/>
    </row>
    <row r="477" spans="1:22" x14ac:dyDescent="0.3">
      <c r="B477" s="37"/>
      <c r="C477" s="327"/>
      <c r="D477" s="327"/>
      <c r="E477" s="327"/>
      <c r="F477" s="327"/>
      <c r="G477" s="327"/>
      <c r="H477" s="328"/>
      <c r="I477" s="39">
        <f t="shared" si="341"/>
        <v>0</v>
      </c>
      <c r="J477" s="39">
        <f t="shared" si="342"/>
        <v>0</v>
      </c>
      <c r="L477" s="187"/>
    </row>
    <row r="478" spans="1:22" x14ac:dyDescent="0.3">
      <c r="A478" s="36"/>
      <c r="B478" s="37"/>
      <c r="C478" s="327"/>
      <c r="D478" s="327"/>
      <c r="E478" s="327"/>
      <c r="F478" s="327"/>
      <c r="G478" s="327"/>
      <c r="H478" s="328"/>
      <c r="I478" s="229">
        <f t="shared" si="341"/>
        <v>0</v>
      </c>
      <c r="J478" s="39">
        <f t="shared" si="342"/>
        <v>0</v>
      </c>
      <c r="L478" s="187"/>
    </row>
    <row r="479" spans="1:22" x14ac:dyDescent="0.3">
      <c r="A479" s="342" t="s">
        <v>419</v>
      </c>
      <c r="B479" s="34"/>
      <c r="C479" s="60">
        <f>SUM(C473:C478)</f>
        <v>19994678.029566947</v>
      </c>
      <c r="D479" s="19">
        <f t="shared" ref="D479" si="347">SUM(D473:D478)</f>
        <v>20135126.57028861</v>
      </c>
      <c r="E479" s="19">
        <f t="shared" ref="E479" si="348">SUM(E473:E478)</f>
        <v>20205798.937019389</v>
      </c>
      <c r="F479" s="19">
        <f t="shared" ref="F479" si="349">SUM(F473:F478)</f>
        <v>20372143.687685519</v>
      </c>
      <c r="G479" s="19">
        <f t="shared" ref="G479" si="350">SUM(G473:G478)</f>
        <v>20507491.643859293</v>
      </c>
      <c r="H479" s="35">
        <f t="shared" ref="H479" si="351">SUM(H473:H478)</f>
        <v>20631129.076870594</v>
      </c>
      <c r="I479" s="20">
        <f t="shared" si="341"/>
        <v>20307727.990881726</v>
      </c>
      <c r="J479" s="35">
        <f t="shared" si="342"/>
        <v>121846367.94529036</v>
      </c>
      <c r="L479" s="494" t="s">
        <v>446</v>
      </c>
    </row>
    <row r="480" spans="1:22" x14ac:dyDescent="0.3">
      <c r="C480" s="2"/>
      <c r="D480" s="2"/>
      <c r="E480" s="2"/>
      <c r="F480" s="2"/>
      <c r="G480" s="2"/>
      <c r="H480" s="2"/>
    </row>
    <row r="481" spans="3:13" x14ac:dyDescent="0.3">
      <c r="C481" s="2"/>
      <c r="D481" s="2"/>
      <c r="E481" s="2"/>
      <c r="F481" s="2"/>
      <c r="G481" s="2"/>
      <c r="H481" s="2"/>
    </row>
    <row r="482" spans="3:13" x14ac:dyDescent="0.3">
      <c r="C482" s="2"/>
      <c r="D482" s="2"/>
      <c r="E482" s="2"/>
      <c r="F482" s="2"/>
      <c r="G482" s="2"/>
      <c r="H482" s="2"/>
      <c r="I482" s="163"/>
      <c r="K482" s="163"/>
      <c r="M482" s="163"/>
    </row>
    <row r="483" spans="3:13" x14ac:dyDescent="0.3">
      <c r="C483" s="2"/>
      <c r="D483" s="2"/>
      <c r="E483" s="2"/>
      <c r="F483" s="2"/>
      <c r="G483" s="2"/>
      <c r="H483" s="2"/>
    </row>
    <row r="484" spans="3:13" x14ac:dyDescent="0.3">
      <c r="C484" s="2"/>
      <c r="D484" s="2"/>
      <c r="E484" s="2"/>
      <c r="F484" s="2"/>
      <c r="G484" s="2"/>
      <c r="H484" s="2"/>
    </row>
    <row r="485" spans="3:13" x14ac:dyDescent="0.3">
      <c r="C485" s="2"/>
      <c r="D485" s="2"/>
      <c r="E485" s="2"/>
      <c r="F485" s="2"/>
      <c r="G485" s="2"/>
      <c r="H485" s="2"/>
    </row>
    <row r="486" spans="3:13" x14ac:dyDescent="0.3">
      <c r="C486" s="246"/>
      <c r="D486" s="2"/>
      <c r="E486" s="2"/>
      <c r="F486" s="2"/>
      <c r="G486" s="2"/>
      <c r="H486" s="2"/>
    </row>
    <row r="487" spans="3:13" x14ac:dyDescent="0.3">
      <c r="C487" s="2"/>
      <c r="D487" s="2"/>
      <c r="E487" s="2"/>
      <c r="F487" s="2"/>
      <c r="G487" s="2"/>
      <c r="H487" s="2"/>
    </row>
    <row r="488" spans="3:13" x14ac:dyDescent="0.3">
      <c r="C488" s="2"/>
      <c r="D488" s="2"/>
      <c r="E488" s="2"/>
      <c r="F488" s="2"/>
      <c r="G488" s="2"/>
      <c r="H488" s="2"/>
    </row>
    <row r="489" spans="3:13" x14ac:dyDescent="0.3">
      <c r="C489" s="2"/>
      <c r="D489" s="2"/>
      <c r="E489" s="2"/>
      <c r="F489" s="2"/>
      <c r="G489" s="2"/>
      <c r="H489" s="2"/>
    </row>
    <row r="490" spans="3:13" x14ac:dyDescent="0.3">
      <c r="C490" s="2"/>
      <c r="D490" s="2"/>
      <c r="E490" s="2"/>
      <c r="F490" s="2"/>
      <c r="G490" s="2"/>
      <c r="H490" s="2"/>
    </row>
    <row r="491" spans="3:13" x14ac:dyDescent="0.3">
      <c r="C491" s="2"/>
      <c r="D491" s="2"/>
      <c r="E491" s="2"/>
      <c r="F491" s="2"/>
      <c r="G491" s="2"/>
      <c r="H491" s="2"/>
    </row>
    <row r="492" spans="3:13" x14ac:dyDescent="0.3">
      <c r="C492" s="2"/>
      <c r="D492" s="2"/>
      <c r="E492" s="2"/>
      <c r="F492" s="2"/>
      <c r="G492" s="2"/>
      <c r="H492" s="2"/>
    </row>
    <row r="493" spans="3:13" x14ac:dyDescent="0.3">
      <c r="C493" s="2"/>
      <c r="D493" s="2"/>
      <c r="E493" s="2"/>
      <c r="F493" s="2"/>
      <c r="G493" s="2"/>
      <c r="H493" s="2"/>
    </row>
  </sheetData>
  <mergeCells count="19">
    <mergeCell ref="L332:L333"/>
    <mergeCell ref="A450:A451"/>
    <mergeCell ref="B450:B451"/>
    <mergeCell ref="L7:L8"/>
    <mergeCell ref="L104:L105"/>
    <mergeCell ref="L141:L142"/>
    <mergeCell ref="A332:A333"/>
    <mergeCell ref="B332:B333"/>
    <mergeCell ref="A1:J1"/>
    <mergeCell ref="A471:A472"/>
    <mergeCell ref="B471:B472"/>
    <mergeCell ref="B459:B460"/>
    <mergeCell ref="A459:A460"/>
    <mergeCell ref="A7:A8"/>
    <mergeCell ref="B7:B8"/>
    <mergeCell ref="B141:B142"/>
    <mergeCell ref="A141:A142"/>
    <mergeCell ref="A104:A105"/>
    <mergeCell ref="B104:B105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fitToHeight="4" orientation="landscape" r:id="rId1"/>
  <headerFooter>
    <oddHeader>&amp;L&amp;F&amp;R&amp;A</oddHeader>
    <oddFooter>&amp;L&amp;D&amp;C&amp;P/&amp;N&amp;R&amp;T</oddFooter>
  </headerFooter>
  <rowBreaks count="8" manualBreakCount="8">
    <brk id="39" max="16383" man="1"/>
    <brk id="103" max="16383" man="1"/>
    <brk id="137" max="11" man="1"/>
    <brk id="204" max="16383" man="1"/>
    <brk id="266" max="16383" man="1"/>
    <brk id="330" max="16383" man="1"/>
    <brk id="395" max="16383" man="1"/>
    <brk id="436" max="16383" man="1"/>
  </rowBreaks>
  <ignoredErrors>
    <ignoredError sqref="C149:H149 I329:J329 C467:H467 C479:H479" formulaRange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/>
  </sheetPr>
  <dimension ref="A1:M211"/>
  <sheetViews>
    <sheetView showGridLines="0" view="pageBreakPreview" zoomScale="85" zoomScaleNormal="95" zoomScaleSheetLayoutView="85" workbookViewId="0">
      <selection sqref="A1:J1"/>
    </sheetView>
  </sheetViews>
  <sheetFormatPr baseColWidth="10" defaultColWidth="11.26953125" defaultRowHeight="13" x14ac:dyDescent="0.3"/>
  <cols>
    <col min="1" max="1" width="37.26953125" style="2" customWidth="1"/>
    <col min="2" max="2" width="10.26953125" style="2" customWidth="1"/>
    <col min="3" max="3" width="10.453125" style="11" customWidth="1"/>
    <col min="4" max="9" width="10.26953125" style="11" customWidth="1"/>
    <col min="10" max="10" width="10.81640625" style="11" bestFit="1" customWidth="1"/>
    <col min="11" max="11" width="6.7265625" style="11" customWidth="1"/>
    <col min="12" max="12" width="20.81640625" style="11" bestFit="1" customWidth="1"/>
    <col min="13" max="13" width="6.7265625" style="11" customWidth="1"/>
    <col min="14" max="16384" width="11.26953125" style="2"/>
  </cols>
  <sheetData>
    <row r="1" spans="1:13" ht="30" customHeight="1" x14ac:dyDescent="0.3">
      <c r="A1" s="680" t="s">
        <v>526</v>
      </c>
      <c r="B1" s="689"/>
      <c r="C1" s="689"/>
      <c r="D1" s="689"/>
      <c r="E1" s="689"/>
      <c r="F1" s="689"/>
      <c r="G1" s="689"/>
      <c r="H1" s="689"/>
      <c r="I1" s="689"/>
      <c r="J1" s="690"/>
      <c r="K1" s="211"/>
      <c r="L1" s="192" t="s">
        <v>304</v>
      </c>
      <c r="M1" s="211"/>
    </row>
    <row r="2" spans="1:13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3">
      <c r="A3" s="21" t="s">
        <v>77</v>
      </c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4"/>
    </row>
    <row r="4" spans="1:13" x14ac:dyDescent="0.3">
      <c r="F4" s="2"/>
      <c r="G4" s="2"/>
      <c r="H4" s="2"/>
      <c r="I4" s="2"/>
      <c r="J4" s="2"/>
      <c r="K4" s="2"/>
      <c r="L4" s="2"/>
      <c r="M4" s="2"/>
    </row>
    <row r="5" spans="1:13" x14ac:dyDescent="0.3">
      <c r="A5" s="42" t="s">
        <v>74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x14ac:dyDescent="0.3">
      <c r="F6" s="2"/>
      <c r="G6" s="2"/>
      <c r="H6" s="2"/>
      <c r="I6" s="2"/>
      <c r="J6" s="2"/>
      <c r="K6" s="2"/>
      <c r="L6" s="2"/>
      <c r="M6" s="2"/>
    </row>
    <row r="7" spans="1:13" ht="27.65" customHeight="1" x14ac:dyDescent="0.3">
      <c r="A7" s="691" t="s">
        <v>362</v>
      </c>
      <c r="B7" s="678"/>
      <c r="C7" s="3">
        <f>Annee</f>
        <v>2024</v>
      </c>
      <c r="D7" s="291">
        <f>C7+1</f>
        <v>2025</v>
      </c>
      <c r="E7" s="291">
        <f t="shared" ref="E7:G7" si="0">D7+1</f>
        <v>2026</v>
      </c>
      <c r="F7" s="291">
        <f t="shared" si="0"/>
        <v>2027</v>
      </c>
      <c r="G7" s="291">
        <f t="shared" si="0"/>
        <v>2028</v>
      </c>
      <c r="H7" s="295">
        <f>G7+1</f>
        <v>2029</v>
      </c>
      <c r="I7" s="179" t="s">
        <v>271</v>
      </c>
      <c r="J7" s="4" t="s">
        <v>62</v>
      </c>
      <c r="L7" s="683" t="s">
        <v>305</v>
      </c>
    </row>
    <row r="8" spans="1:13" x14ac:dyDescent="0.3">
      <c r="A8" s="692"/>
      <c r="B8" s="679"/>
      <c r="C8" s="77">
        <v>12</v>
      </c>
      <c r="D8" s="77">
        <v>12</v>
      </c>
      <c r="E8" s="77">
        <v>12</v>
      </c>
      <c r="F8" s="77">
        <v>12</v>
      </c>
      <c r="G8" s="77">
        <v>12</v>
      </c>
      <c r="H8" s="77">
        <v>12</v>
      </c>
      <c r="I8" s="78">
        <f t="shared" ref="I8:I36" si="1">IFERROR(AVERAGE(C8:H8),0)</f>
        <v>12</v>
      </c>
      <c r="J8" s="78">
        <f t="shared" ref="J8" si="2">SUM(C8:H8)</f>
        <v>72</v>
      </c>
      <c r="K8" s="2"/>
      <c r="L8" s="699"/>
      <c r="M8" s="2"/>
    </row>
    <row r="9" spans="1:13" x14ac:dyDescent="0.3">
      <c r="A9" s="115" t="s">
        <v>298</v>
      </c>
      <c r="B9" s="53"/>
      <c r="C9" s="223">
        <f>C10+C15+C16+C17</f>
        <v>7201048.1230000062</v>
      </c>
      <c r="D9" s="221">
        <f t="shared" ref="D9:H9" si="3">D10+D15+D16+D17</f>
        <v>7201048.1230000062</v>
      </c>
      <c r="E9" s="221">
        <f t="shared" si="3"/>
        <v>7201048.1230000062</v>
      </c>
      <c r="F9" s="221">
        <f t="shared" si="3"/>
        <v>7201048.1230000062</v>
      </c>
      <c r="G9" s="221">
        <f t="shared" si="3"/>
        <v>7201048.1230000062</v>
      </c>
      <c r="H9" s="222">
        <f t="shared" si="3"/>
        <v>7201048.1230000062</v>
      </c>
      <c r="I9" s="301">
        <f t="shared" si="1"/>
        <v>7201048.1230000062</v>
      </c>
      <c r="J9" s="301">
        <f>SUM(C9:H9)</f>
        <v>43206288.738000035</v>
      </c>
      <c r="K9" s="2"/>
      <c r="L9" s="195"/>
      <c r="M9" s="31"/>
    </row>
    <row r="10" spans="1:13" x14ac:dyDescent="0.3">
      <c r="A10" s="116" t="s">
        <v>356</v>
      </c>
      <c r="B10" s="313"/>
      <c r="C10" s="294">
        <f>SUM(C11:C14)</f>
        <v>7054636.5730000064</v>
      </c>
      <c r="D10" s="297">
        <f t="shared" ref="D10:H10" si="4">SUM(D11:D14)</f>
        <v>7054636.5730000064</v>
      </c>
      <c r="E10" s="297">
        <f t="shared" si="4"/>
        <v>7054636.5730000064</v>
      </c>
      <c r="F10" s="297">
        <f t="shared" si="4"/>
        <v>7054636.5730000064</v>
      </c>
      <c r="G10" s="297">
        <f t="shared" si="4"/>
        <v>7054636.5730000064</v>
      </c>
      <c r="H10" s="296">
        <f t="shared" si="4"/>
        <v>7054636.5730000064</v>
      </c>
      <c r="I10" s="62">
        <f t="shared" si="1"/>
        <v>7054636.5730000064</v>
      </c>
      <c r="J10" s="62">
        <f>SUM(C10:H10)</f>
        <v>42327819.438000038</v>
      </c>
      <c r="K10" s="2"/>
      <c r="L10" s="187"/>
      <c r="M10" s="2"/>
    </row>
    <row r="11" spans="1:13" x14ac:dyDescent="0.3">
      <c r="A11" s="36" t="s">
        <v>357</v>
      </c>
      <c r="B11" s="37"/>
      <c r="C11" s="324">
        <v>4773229.2560000075</v>
      </c>
      <c r="D11" s="325">
        <v>4773229.2560000075</v>
      </c>
      <c r="E11" s="325">
        <v>4773229.2560000075</v>
      </c>
      <c r="F11" s="325">
        <v>4773229.2560000075</v>
      </c>
      <c r="G11" s="325">
        <v>4773229.2560000075</v>
      </c>
      <c r="H11" s="326">
        <v>4773229.2560000075</v>
      </c>
      <c r="I11" s="10">
        <f t="shared" si="1"/>
        <v>4773229.2560000075</v>
      </c>
      <c r="J11" s="39">
        <f t="shared" ref="J11:J36" si="5">SUM(C11:H11)</f>
        <v>28639375.536000047</v>
      </c>
      <c r="K11" s="2"/>
      <c r="L11" s="186"/>
      <c r="M11" s="2"/>
    </row>
    <row r="12" spans="1:13" ht="13.15" customHeight="1" x14ac:dyDescent="0.3">
      <c r="A12" s="36" t="s">
        <v>358</v>
      </c>
      <c r="B12" s="37"/>
      <c r="C12" s="324">
        <v>2091439.4139999996</v>
      </c>
      <c r="D12" s="324">
        <v>2091439.4139999996</v>
      </c>
      <c r="E12" s="324">
        <v>2091439.4139999996</v>
      </c>
      <c r="F12" s="324">
        <v>2091439.4139999996</v>
      </c>
      <c r="G12" s="324">
        <v>2091439.4139999996</v>
      </c>
      <c r="H12" s="326">
        <v>2091439.4139999996</v>
      </c>
      <c r="I12" s="39">
        <f t="shared" si="1"/>
        <v>2091439.4139999996</v>
      </c>
      <c r="J12" s="39">
        <f t="shared" si="5"/>
        <v>12548636.483999997</v>
      </c>
      <c r="K12" s="2"/>
      <c r="L12" s="187"/>
      <c r="M12" s="2"/>
    </row>
    <row r="13" spans="1:13" x14ac:dyDescent="0.3">
      <c r="A13" s="36" t="s">
        <v>359</v>
      </c>
      <c r="B13" s="37"/>
      <c r="C13" s="324">
        <v>189967.90299999918</v>
      </c>
      <c r="D13" s="324">
        <v>189967.90299999918</v>
      </c>
      <c r="E13" s="324">
        <v>189967.90299999918</v>
      </c>
      <c r="F13" s="324">
        <v>189967.90299999918</v>
      </c>
      <c r="G13" s="324">
        <v>189967.90299999918</v>
      </c>
      <c r="H13" s="326">
        <v>189967.90299999918</v>
      </c>
      <c r="I13" s="39">
        <f t="shared" si="1"/>
        <v>189967.90299999921</v>
      </c>
      <c r="J13" s="39">
        <f t="shared" si="5"/>
        <v>1139807.4179999952</v>
      </c>
      <c r="K13" s="2"/>
      <c r="L13" s="187"/>
      <c r="M13" s="2"/>
    </row>
    <row r="14" spans="1:13" x14ac:dyDescent="0.3">
      <c r="A14" s="36" t="s">
        <v>461</v>
      </c>
      <c r="B14" s="37"/>
      <c r="C14" s="324">
        <v>0</v>
      </c>
      <c r="D14" s="324">
        <v>0</v>
      </c>
      <c r="E14" s="324">
        <v>0</v>
      </c>
      <c r="F14" s="324">
        <v>0</v>
      </c>
      <c r="G14" s="324">
        <v>0</v>
      </c>
      <c r="H14" s="326">
        <v>0</v>
      </c>
      <c r="I14" s="39">
        <f t="shared" si="1"/>
        <v>0</v>
      </c>
      <c r="J14" s="39">
        <f t="shared" si="5"/>
        <v>0</v>
      </c>
      <c r="K14" s="2"/>
      <c r="L14" s="187"/>
      <c r="M14" s="2"/>
    </row>
    <row r="15" spans="1:13" x14ac:dyDescent="0.3">
      <c r="A15" s="116" t="s">
        <v>332</v>
      </c>
      <c r="B15" s="313"/>
      <c r="C15" s="351">
        <v>0</v>
      </c>
      <c r="D15" s="352">
        <v>0</v>
      </c>
      <c r="E15" s="352">
        <v>0</v>
      </c>
      <c r="F15" s="352">
        <v>0</v>
      </c>
      <c r="G15" s="352">
        <v>0</v>
      </c>
      <c r="H15" s="353">
        <v>0</v>
      </c>
      <c r="I15" s="62">
        <f t="shared" si="1"/>
        <v>0</v>
      </c>
      <c r="J15" s="62">
        <f t="shared" si="5"/>
        <v>0</v>
      </c>
      <c r="K15" s="2"/>
      <c r="L15" s="195"/>
      <c r="M15" s="2"/>
    </row>
    <row r="16" spans="1:13" x14ac:dyDescent="0.3">
      <c r="A16" s="116" t="s">
        <v>463</v>
      </c>
      <c r="B16" s="313"/>
      <c r="C16" s="351">
        <v>0</v>
      </c>
      <c r="D16" s="352">
        <v>0</v>
      </c>
      <c r="E16" s="352">
        <v>0</v>
      </c>
      <c r="F16" s="352">
        <v>0</v>
      </c>
      <c r="G16" s="352">
        <v>0</v>
      </c>
      <c r="H16" s="353">
        <v>0</v>
      </c>
      <c r="I16" s="62">
        <f t="shared" ref="I16" si="6">IFERROR(AVERAGE(C16:H16),0)</f>
        <v>0</v>
      </c>
      <c r="J16" s="62">
        <f t="shared" ref="J16" si="7">SUM(C16:H16)</f>
        <v>0</v>
      </c>
      <c r="K16" s="2"/>
      <c r="L16" s="195"/>
      <c r="M16" s="2"/>
    </row>
    <row r="17" spans="1:13" x14ac:dyDescent="0.3">
      <c r="A17" s="116" t="s">
        <v>360</v>
      </c>
      <c r="B17" s="313"/>
      <c r="C17" s="351">
        <v>146411.55000000002</v>
      </c>
      <c r="D17" s="352">
        <v>146411.55000000002</v>
      </c>
      <c r="E17" s="352">
        <v>146411.55000000002</v>
      </c>
      <c r="F17" s="352">
        <v>146411.55000000002</v>
      </c>
      <c r="G17" s="352">
        <v>146411.55000000002</v>
      </c>
      <c r="H17" s="353">
        <v>146411.55000000002</v>
      </c>
      <c r="I17" s="62">
        <f t="shared" ref="I17" si="8">IFERROR(AVERAGE(C17:H17),0)</f>
        <v>146411.55000000002</v>
      </c>
      <c r="J17" s="62">
        <f t="shared" ref="J17" si="9">SUM(C17:H17)</f>
        <v>878469.30000000016</v>
      </c>
      <c r="K17" s="2"/>
      <c r="L17" s="195"/>
      <c r="M17" s="2"/>
    </row>
    <row r="18" spans="1:13" x14ac:dyDescent="0.3">
      <c r="A18" s="115" t="s">
        <v>347</v>
      </c>
      <c r="B18" s="53"/>
      <c r="C18" s="223">
        <f>C19+C24+C25+C26</f>
        <v>1426285.5399999996</v>
      </c>
      <c r="D18" s="221">
        <f t="shared" ref="D18" si="10">D19+D24+D25+D26</f>
        <v>1426285.5399999996</v>
      </c>
      <c r="E18" s="221">
        <f t="shared" ref="E18" si="11">E19+E24+E25+E26</f>
        <v>1426285.5399999996</v>
      </c>
      <c r="F18" s="221">
        <f t="shared" ref="F18" si="12">F19+F24+F25+F26</f>
        <v>1426285.5399999996</v>
      </c>
      <c r="G18" s="221">
        <f t="shared" ref="G18" si="13">G19+G24+G25+G26</f>
        <v>1426285.5399999996</v>
      </c>
      <c r="H18" s="222">
        <f t="shared" ref="H18" si="14">H19+H24+H25+H26</f>
        <v>1426285.5399999996</v>
      </c>
      <c r="I18" s="301">
        <f t="shared" si="1"/>
        <v>1426285.5399999993</v>
      </c>
      <c r="J18" s="301">
        <f>SUM(C18:H18)</f>
        <v>8557713.2399999965</v>
      </c>
      <c r="K18" s="2"/>
      <c r="L18" s="195"/>
      <c r="M18" s="31"/>
    </row>
    <row r="19" spans="1:13" x14ac:dyDescent="0.3">
      <c r="A19" s="116" t="s">
        <v>356</v>
      </c>
      <c r="B19" s="313"/>
      <c r="C19" s="294">
        <f>SUM(C20:C23)</f>
        <v>1252022.1399999994</v>
      </c>
      <c r="D19" s="297">
        <f t="shared" ref="D19:H19" si="15">SUM(D20:D23)</f>
        <v>1252022.1399999994</v>
      </c>
      <c r="E19" s="297">
        <f t="shared" si="15"/>
        <v>1252022.1399999994</v>
      </c>
      <c r="F19" s="297">
        <f t="shared" si="15"/>
        <v>1252022.1399999994</v>
      </c>
      <c r="G19" s="297">
        <f t="shared" si="15"/>
        <v>1252022.1399999994</v>
      </c>
      <c r="H19" s="296">
        <f t="shared" si="15"/>
        <v>1252022.1399999994</v>
      </c>
      <c r="I19" s="62">
        <f t="shared" si="1"/>
        <v>1252022.1399999994</v>
      </c>
      <c r="J19" s="62">
        <f>SUM(C19:H19)</f>
        <v>7512132.8399999971</v>
      </c>
      <c r="K19" s="2"/>
      <c r="L19" s="187"/>
      <c r="M19" s="2"/>
    </row>
    <row r="20" spans="1:13" x14ac:dyDescent="0.3">
      <c r="A20" s="36" t="s">
        <v>357</v>
      </c>
      <c r="B20" s="37"/>
      <c r="C20" s="324">
        <v>759738.53199999919</v>
      </c>
      <c r="D20" s="325">
        <v>759738.53199999919</v>
      </c>
      <c r="E20" s="325">
        <v>759738.53199999919</v>
      </c>
      <c r="F20" s="325">
        <v>759738.53199999919</v>
      </c>
      <c r="G20" s="325">
        <v>759738.53199999919</v>
      </c>
      <c r="H20" s="326">
        <v>759738.53199999919</v>
      </c>
      <c r="I20" s="10">
        <f t="shared" si="1"/>
        <v>759738.53199999919</v>
      </c>
      <c r="J20" s="39">
        <f t="shared" ref="J20:J26" si="16">SUM(C20:H20)</f>
        <v>4558431.1919999951</v>
      </c>
      <c r="K20" s="2"/>
      <c r="L20" s="186"/>
      <c r="M20" s="2"/>
    </row>
    <row r="21" spans="1:13" ht="13.15" customHeight="1" x14ac:dyDescent="0.3">
      <c r="A21" s="36" t="s">
        <v>358</v>
      </c>
      <c r="B21" s="37"/>
      <c r="C21" s="324">
        <v>444358.5610000001</v>
      </c>
      <c r="D21" s="324">
        <v>444358.5610000001</v>
      </c>
      <c r="E21" s="324">
        <v>444358.5610000001</v>
      </c>
      <c r="F21" s="324">
        <v>444358.5610000001</v>
      </c>
      <c r="G21" s="324">
        <v>444358.5610000001</v>
      </c>
      <c r="H21" s="326">
        <v>444358.5610000001</v>
      </c>
      <c r="I21" s="39">
        <f t="shared" si="1"/>
        <v>444358.56100000016</v>
      </c>
      <c r="J21" s="39">
        <f t="shared" si="16"/>
        <v>2666151.3660000009</v>
      </c>
      <c r="K21" s="2"/>
      <c r="L21" s="187"/>
      <c r="M21" s="2"/>
    </row>
    <row r="22" spans="1:13" x14ac:dyDescent="0.3">
      <c r="A22" s="36" t="s">
        <v>359</v>
      </c>
      <c r="B22" s="37"/>
      <c r="C22" s="324">
        <v>47925.046999999926</v>
      </c>
      <c r="D22" s="324">
        <v>47925.046999999926</v>
      </c>
      <c r="E22" s="324">
        <v>47925.046999999926</v>
      </c>
      <c r="F22" s="324">
        <v>47925.046999999926</v>
      </c>
      <c r="G22" s="324">
        <v>47925.046999999926</v>
      </c>
      <c r="H22" s="326">
        <v>47925.046999999926</v>
      </c>
      <c r="I22" s="39">
        <f t="shared" si="1"/>
        <v>47925.046999999926</v>
      </c>
      <c r="J22" s="39">
        <f t="shared" si="16"/>
        <v>287550.28199999954</v>
      </c>
      <c r="K22" s="2"/>
      <c r="L22" s="187"/>
      <c r="M22" s="2"/>
    </row>
    <row r="23" spans="1:13" x14ac:dyDescent="0.3">
      <c r="A23" s="36" t="s">
        <v>461</v>
      </c>
      <c r="B23" s="37"/>
      <c r="C23" s="324">
        <v>0</v>
      </c>
      <c r="D23" s="324">
        <v>0</v>
      </c>
      <c r="E23" s="324">
        <v>0</v>
      </c>
      <c r="F23" s="324">
        <v>0</v>
      </c>
      <c r="G23" s="324">
        <v>0</v>
      </c>
      <c r="H23" s="326">
        <v>0</v>
      </c>
      <c r="I23" s="39">
        <f t="shared" si="1"/>
        <v>0</v>
      </c>
      <c r="J23" s="39">
        <f t="shared" si="16"/>
        <v>0</v>
      </c>
      <c r="K23" s="2"/>
      <c r="L23" s="187"/>
      <c r="M23" s="2"/>
    </row>
    <row r="24" spans="1:13" x14ac:dyDescent="0.3">
      <c r="A24" s="116" t="s">
        <v>332</v>
      </c>
      <c r="B24" s="313"/>
      <c r="C24" s="351">
        <v>0</v>
      </c>
      <c r="D24" s="352">
        <v>0</v>
      </c>
      <c r="E24" s="352">
        <v>0</v>
      </c>
      <c r="F24" s="352">
        <v>0</v>
      </c>
      <c r="G24" s="352">
        <v>0</v>
      </c>
      <c r="H24" s="353">
        <v>0</v>
      </c>
      <c r="I24" s="62">
        <f t="shared" si="1"/>
        <v>0</v>
      </c>
      <c r="J24" s="62">
        <f t="shared" si="16"/>
        <v>0</v>
      </c>
      <c r="K24" s="2"/>
      <c r="L24" s="195"/>
      <c r="M24" s="2"/>
    </row>
    <row r="25" spans="1:13" x14ac:dyDescent="0.3">
      <c r="A25" s="116" t="s">
        <v>463</v>
      </c>
      <c r="B25" s="313"/>
      <c r="C25" s="351">
        <v>0</v>
      </c>
      <c r="D25" s="352">
        <v>0</v>
      </c>
      <c r="E25" s="352">
        <v>0</v>
      </c>
      <c r="F25" s="352">
        <v>0</v>
      </c>
      <c r="G25" s="352">
        <v>0</v>
      </c>
      <c r="H25" s="353">
        <v>0</v>
      </c>
      <c r="I25" s="62">
        <f t="shared" ref="I25" si="17">IFERROR(AVERAGE(C25:H25),0)</f>
        <v>0</v>
      </c>
      <c r="J25" s="62">
        <f t="shared" ref="J25" si="18">SUM(C25:H25)</f>
        <v>0</v>
      </c>
      <c r="K25" s="2"/>
      <c r="L25" s="195"/>
      <c r="M25" s="2"/>
    </row>
    <row r="26" spans="1:13" x14ac:dyDescent="0.3">
      <c r="A26" s="116" t="s">
        <v>360</v>
      </c>
      <c r="B26" s="313"/>
      <c r="C26" s="351">
        <v>174263.40000000002</v>
      </c>
      <c r="D26" s="352">
        <v>174263.40000000002</v>
      </c>
      <c r="E26" s="352">
        <v>174263.40000000002</v>
      </c>
      <c r="F26" s="352">
        <v>174263.40000000002</v>
      </c>
      <c r="G26" s="352">
        <v>174263.40000000002</v>
      </c>
      <c r="H26" s="353">
        <v>174263.40000000002</v>
      </c>
      <c r="I26" s="62">
        <f t="shared" si="1"/>
        <v>174263.40000000002</v>
      </c>
      <c r="J26" s="62">
        <f t="shared" si="16"/>
        <v>1045580.4000000001</v>
      </c>
      <c r="K26" s="2"/>
      <c r="L26" s="195"/>
      <c r="M26" s="2"/>
    </row>
    <row r="27" spans="1:13" x14ac:dyDescent="0.3">
      <c r="A27" s="115" t="s">
        <v>300</v>
      </c>
      <c r="B27" s="53"/>
      <c r="C27" s="223">
        <f>C28+C33+C34+C35</f>
        <v>345093.34652000025</v>
      </c>
      <c r="D27" s="221">
        <f t="shared" ref="D27" si="19">D28+D33+D34+D35</f>
        <v>345093.34652000025</v>
      </c>
      <c r="E27" s="221">
        <f t="shared" ref="E27" si="20">E28+E33+E34+E35</f>
        <v>345093.34652000025</v>
      </c>
      <c r="F27" s="221">
        <f t="shared" ref="F27" si="21">F28+F33+F34+F35</f>
        <v>345093.34652000025</v>
      </c>
      <c r="G27" s="221">
        <f t="shared" ref="G27" si="22">G28+G33+G34+G35</f>
        <v>345093.34652000025</v>
      </c>
      <c r="H27" s="222">
        <f t="shared" ref="H27" si="23">H28+H33+H34+H35</f>
        <v>345093.34652000025</v>
      </c>
      <c r="I27" s="301">
        <f t="shared" si="1"/>
        <v>345093.3465200002</v>
      </c>
      <c r="J27" s="301">
        <f>SUM(C27:H27)</f>
        <v>2070560.0791200013</v>
      </c>
      <c r="K27" s="2"/>
      <c r="L27" s="195"/>
      <c r="M27" s="31"/>
    </row>
    <row r="28" spans="1:13" x14ac:dyDescent="0.3">
      <c r="A28" s="116" t="s">
        <v>356</v>
      </c>
      <c r="B28" s="313"/>
      <c r="C28" s="294">
        <f>SUM(C29:C32)</f>
        <v>332266.34852000023</v>
      </c>
      <c r="D28" s="297">
        <f t="shared" ref="D28:H28" si="24">SUM(D29:D32)</f>
        <v>332266.34852000023</v>
      </c>
      <c r="E28" s="297">
        <f t="shared" si="24"/>
        <v>332266.34852000023</v>
      </c>
      <c r="F28" s="297">
        <f t="shared" si="24"/>
        <v>332266.34852000023</v>
      </c>
      <c r="G28" s="297">
        <f t="shared" si="24"/>
        <v>332266.34852000023</v>
      </c>
      <c r="H28" s="296">
        <f t="shared" si="24"/>
        <v>332266.34852000023</v>
      </c>
      <c r="I28" s="62">
        <f t="shared" si="1"/>
        <v>332266.34852000023</v>
      </c>
      <c r="J28" s="62">
        <f>SUM(C28:H28)</f>
        <v>1993598.0911200014</v>
      </c>
      <c r="K28" s="2"/>
      <c r="L28" s="187"/>
      <c r="M28" s="2"/>
    </row>
    <row r="29" spans="1:13" x14ac:dyDescent="0.3">
      <c r="A29" s="36" t="s">
        <v>357</v>
      </c>
      <c r="B29" s="37"/>
      <c r="C29" s="324">
        <v>221318.71152000022</v>
      </c>
      <c r="D29" s="325">
        <v>221318.71152000022</v>
      </c>
      <c r="E29" s="325">
        <v>221318.71152000022</v>
      </c>
      <c r="F29" s="325">
        <v>221318.71152000022</v>
      </c>
      <c r="G29" s="325">
        <v>221318.71152000022</v>
      </c>
      <c r="H29" s="326">
        <v>221318.71152000022</v>
      </c>
      <c r="I29" s="10">
        <f t="shared" si="1"/>
        <v>221318.71152000022</v>
      </c>
      <c r="J29" s="39">
        <f t="shared" ref="J29:J35" si="25">SUM(C29:H29)</f>
        <v>1327912.2691200012</v>
      </c>
      <c r="K29" s="2"/>
      <c r="L29" s="186"/>
      <c r="M29" s="2"/>
    </row>
    <row r="30" spans="1:13" ht="13.15" customHeight="1" x14ac:dyDescent="0.3">
      <c r="A30" s="36" t="s">
        <v>358</v>
      </c>
      <c r="B30" s="37"/>
      <c r="C30" s="324">
        <v>101431.91900000001</v>
      </c>
      <c r="D30" s="324">
        <v>101431.91900000001</v>
      </c>
      <c r="E30" s="324">
        <v>101431.91900000001</v>
      </c>
      <c r="F30" s="324">
        <v>101431.91900000001</v>
      </c>
      <c r="G30" s="324">
        <v>101431.91900000001</v>
      </c>
      <c r="H30" s="326">
        <v>101431.91900000001</v>
      </c>
      <c r="I30" s="39">
        <f t="shared" si="1"/>
        <v>101431.91900000001</v>
      </c>
      <c r="J30" s="39">
        <f t="shared" si="25"/>
        <v>608591.51400000008</v>
      </c>
      <c r="K30" s="2"/>
      <c r="L30" s="187"/>
      <c r="M30" s="2"/>
    </row>
    <row r="31" spans="1:13" x14ac:dyDescent="0.3">
      <c r="A31" s="36" t="s">
        <v>359</v>
      </c>
      <c r="B31" s="37"/>
      <c r="C31" s="324">
        <v>9515.7179999999644</v>
      </c>
      <c r="D31" s="324">
        <v>9515.7179999999644</v>
      </c>
      <c r="E31" s="324">
        <v>9515.7179999999644</v>
      </c>
      <c r="F31" s="324">
        <v>9515.7179999999644</v>
      </c>
      <c r="G31" s="324">
        <v>9515.7179999999644</v>
      </c>
      <c r="H31" s="326">
        <v>9515.7179999999644</v>
      </c>
      <c r="I31" s="39">
        <f t="shared" si="1"/>
        <v>9515.7179999999644</v>
      </c>
      <c r="J31" s="39">
        <f t="shared" si="25"/>
        <v>57094.307999999786</v>
      </c>
      <c r="K31" s="2"/>
      <c r="L31" s="187"/>
      <c r="M31" s="2"/>
    </row>
    <row r="32" spans="1:13" x14ac:dyDescent="0.3">
      <c r="A32" s="36" t="s">
        <v>461</v>
      </c>
      <c r="B32" s="37"/>
      <c r="C32" s="324">
        <v>0</v>
      </c>
      <c r="D32" s="324">
        <v>0</v>
      </c>
      <c r="E32" s="324">
        <v>0</v>
      </c>
      <c r="F32" s="324">
        <v>0</v>
      </c>
      <c r="G32" s="324">
        <v>0</v>
      </c>
      <c r="H32" s="326">
        <v>0</v>
      </c>
      <c r="I32" s="39">
        <f t="shared" si="1"/>
        <v>0</v>
      </c>
      <c r="J32" s="39">
        <f t="shared" si="25"/>
        <v>0</v>
      </c>
      <c r="K32" s="2"/>
      <c r="L32" s="187"/>
      <c r="M32" s="2"/>
    </row>
    <row r="33" spans="1:13" x14ac:dyDescent="0.3">
      <c r="A33" s="116" t="s">
        <v>332</v>
      </c>
      <c r="B33" s="313"/>
      <c r="C33" s="351">
        <v>0</v>
      </c>
      <c r="D33" s="352">
        <v>0</v>
      </c>
      <c r="E33" s="352">
        <v>0</v>
      </c>
      <c r="F33" s="352">
        <v>0</v>
      </c>
      <c r="G33" s="352">
        <v>0</v>
      </c>
      <c r="H33" s="353">
        <v>0</v>
      </c>
      <c r="I33" s="62">
        <f t="shared" si="1"/>
        <v>0</v>
      </c>
      <c r="J33" s="62">
        <f t="shared" si="25"/>
        <v>0</v>
      </c>
      <c r="K33" s="2"/>
      <c r="L33" s="195"/>
      <c r="M33" s="2"/>
    </row>
    <row r="34" spans="1:13" x14ac:dyDescent="0.3">
      <c r="A34" s="116" t="s">
        <v>463</v>
      </c>
      <c r="B34" s="313"/>
      <c r="C34" s="351">
        <v>0</v>
      </c>
      <c r="D34" s="352">
        <v>0</v>
      </c>
      <c r="E34" s="352">
        <v>0</v>
      </c>
      <c r="F34" s="352">
        <v>0</v>
      </c>
      <c r="G34" s="352">
        <v>0</v>
      </c>
      <c r="H34" s="353">
        <v>0</v>
      </c>
      <c r="I34" s="62">
        <f t="shared" ref="I34" si="26">IFERROR(AVERAGE(C34:H34),0)</f>
        <v>0</v>
      </c>
      <c r="J34" s="62">
        <f t="shared" ref="J34" si="27">SUM(C34:H34)</f>
        <v>0</v>
      </c>
      <c r="K34" s="2"/>
      <c r="L34" s="195"/>
      <c r="M34" s="2"/>
    </row>
    <row r="35" spans="1:13" x14ac:dyDescent="0.3">
      <c r="A35" s="116" t="s">
        <v>360</v>
      </c>
      <c r="B35" s="313"/>
      <c r="C35" s="351">
        <v>12826.998000000003</v>
      </c>
      <c r="D35" s="352">
        <v>12826.998000000003</v>
      </c>
      <c r="E35" s="352">
        <v>12826.998000000003</v>
      </c>
      <c r="F35" s="352">
        <v>12826.998000000003</v>
      </c>
      <c r="G35" s="352">
        <v>12826.998000000003</v>
      </c>
      <c r="H35" s="353">
        <v>12826.998000000003</v>
      </c>
      <c r="I35" s="62">
        <f t="shared" ref="I35" si="28">IFERROR(AVERAGE(C35:H35),0)</f>
        <v>12826.998000000005</v>
      </c>
      <c r="J35" s="62">
        <f t="shared" si="25"/>
        <v>76961.988000000027</v>
      </c>
      <c r="K35" s="2"/>
      <c r="L35" s="195"/>
      <c r="M35" s="2"/>
    </row>
    <row r="36" spans="1:13" x14ac:dyDescent="0.3">
      <c r="A36" s="18" t="s">
        <v>344</v>
      </c>
      <c r="B36" s="34"/>
      <c r="C36" s="60">
        <f t="shared" ref="C36:H36" si="29">C9+C18+C27</f>
        <v>8972427.0095200073</v>
      </c>
      <c r="D36" s="19">
        <f t="shared" si="29"/>
        <v>8972427.0095200073</v>
      </c>
      <c r="E36" s="19">
        <f t="shared" si="29"/>
        <v>8972427.0095200073</v>
      </c>
      <c r="F36" s="19">
        <f t="shared" si="29"/>
        <v>8972427.0095200073</v>
      </c>
      <c r="G36" s="19">
        <f t="shared" si="29"/>
        <v>8972427.0095200073</v>
      </c>
      <c r="H36" s="35">
        <f t="shared" si="29"/>
        <v>8972427.0095200073</v>
      </c>
      <c r="I36" s="35">
        <f t="shared" si="1"/>
        <v>8972427.0095200073</v>
      </c>
      <c r="J36" s="35">
        <f t="shared" si="5"/>
        <v>53834562.057120048</v>
      </c>
      <c r="K36" s="2"/>
      <c r="L36" s="195"/>
      <c r="M36" s="31"/>
    </row>
    <row r="37" spans="1:13" x14ac:dyDescent="0.3">
      <c r="F37" s="2"/>
      <c r="G37" s="2"/>
      <c r="H37" s="2"/>
      <c r="I37" s="2"/>
      <c r="J37" s="2"/>
      <c r="K37" s="2"/>
      <c r="L37" s="2"/>
      <c r="M37" s="2"/>
    </row>
    <row r="38" spans="1:13" ht="27.65" customHeight="1" x14ac:dyDescent="0.3">
      <c r="A38" s="691" t="s">
        <v>361</v>
      </c>
      <c r="B38" s="678"/>
      <c r="C38" s="3">
        <f>Annee</f>
        <v>2024</v>
      </c>
      <c r="D38" s="291">
        <f>C38+1</f>
        <v>2025</v>
      </c>
      <c r="E38" s="291">
        <f t="shared" ref="E38:G38" si="30">D38+1</f>
        <v>2026</v>
      </c>
      <c r="F38" s="291">
        <f t="shared" si="30"/>
        <v>2027</v>
      </c>
      <c r="G38" s="291">
        <f t="shared" si="30"/>
        <v>2028</v>
      </c>
      <c r="H38" s="295">
        <f>G38+1</f>
        <v>2029</v>
      </c>
      <c r="I38" s="179" t="s">
        <v>271</v>
      </c>
      <c r="J38" s="179" t="s">
        <v>62</v>
      </c>
      <c r="K38" s="2"/>
      <c r="L38" s="683" t="s">
        <v>305</v>
      </c>
      <c r="M38" s="2"/>
    </row>
    <row r="39" spans="1:13" x14ac:dyDescent="0.3">
      <c r="A39" s="692"/>
      <c r="B39" s="679"/>
      <c r="C39" s="77">
        <v>12</v>
      </c>
      <c r="D39" s="77">
        <v>12</v>
      </c>
      <c r="E39" s="77">
        <v>12</v>
      </c>
      <c r="F39" s="77">
        <v>12</v>
      </c>
      <c r="G39" s="77">
        <v>12</v>
      </c>
      <c r="H39" s="77">
        <v>12</v>
      </c>
      <c r="I39" s="78">
        <f t="shared" ref="I39:I48" si="31">IFERROR(AVERAGE(C39:H39),0)</f>
        <v>12</v>
      </c>
      <c r="J39" s="78">
        <f t="shared" ref="J39" si="32">SUM(C39:H39)</f>
        <v>72</v>
      </c>
      <c r="K39" s="2"/>
      <c r="L39" s="699"/>
      <c r="M39" s="2"/>
    </row>
    <row r="40" spans="1:13" x14ac:dyDescent="0.3">
      <c r="A40" s="115" t="s">
        <v>356</v>
      </c>
      <c r="B40" s="53"/>
      <c r="C40" s="223">
        <f>SUM(C41:C44)</f>
        <v>166.71</v>
      </c>
      <c r="D40" s="221">
        <f t="shared" ref="D40:H40" si="33">SUM(D41:D44)</f>
        <v>169.44</v>
      </c>
      <c r="E40" s="221">
        <f t="shared" si="33"/>
        <v>167.27</v>
      </c>
      <c r="F40" s="221">
        <f t="shared" si="33"/>
        <v>165.44</v>
      </c>
      <c r="G40" s="221">
        <f t="shared" si="33"/>
        <v>165.01999999999998</v>
      </c>
      <c r="H40" s="222">
        <f t="shared" si="33"/>
        <v>165.02</v>
      </c>
      <c r="I40" s="301">
        <f t="shared" si="31"/>
        <v>166.48333333333332</v>
      </c>
      <c r="J40" s="301">
        <f t="shared" ref="J40:J48" si="34">SUM(C40:H40)</f>
        <v>998.89999999999986</v>
      </c>
      <c r="K40" s="2"/>
      <c r="L40" s="187"/>
      <c r="M40" s="2"/>
    </row>
    <row r="41" spans="1:13" x14ac:dyDescent="0.3">
      <c r="A41" s="36" t="s">
        <v>357</v>
      </c>
      <c r="B41" s="37"/>
      <c r="C41" s="324">
        <v>107.05</v>
      </c>
      <c r="D41" s="325">
        <v>109.12</v>
      </c>
      <c r="E41" s="325">
        <v>107.92</v>
      </c>
      <c r="F41" s="325">
        <v>106.9</v>
      </c>
      <c r="G41" s="325">
        <v>106.66</v>
      </c>
      <c r="H41" s="326">
        <v>106.67</v>
      </c>
      <c r="I41" s="10">
        <f t="shared" si="31"/>
        <v>107.38666666666666</v>
      </c>
      <c r="J41" s="39">
        <f t="shared" si="34"/>
        <v>644.31999999999994</v>
      </c>
      <c r="K41" s="2"/>
      <c r="L41" s="186"/>
      <c r="M41" s="2"/>
    </row>
    <row r="42" spans="1:13" ht="13.15" customHeight="1" x14ac:dyDescent="0.3">
      <c r="A42" s="36" t="s">
        <v>358</v>
      </c>
      <c r="B42" s="37"/>
      <c r="C42" s="324">
        <v>54.29</v>
      </c>
      <c r="D42" s="324">
        <v>54.95</v>
      </c>
      <c r="E42" s="324">
        <v>53.98</v>
      </c>
      <c r="F42" s="324">
        <v>53.17</v>
      </c>
      <c r="G42" s="324">
        <v>52.98</v>
      </c>
      <c r="H42" s="326">
        <v>52.98</v>
      </c>
      <c r="I42" s="39">
        <f t="shared" si="31"/>
        <v>53.725000000000001</v>
      </c>
      <c r="J42" s="39">
        <f t="shared" si="34"/>
        <v>322.35000000000002</v>
      </c>
      <c r="K42" s="2"/>
      <c r="L42" s="187"/>
      <c r="M42" s="2"/>
    </row>
    <row r="43" spans="1:13" x14ac:dyDescent="0.3">
      <c r="A43" s="36" t="s">
        <v>359</v>
      </c>
      <c r="B43" s="37"/>
      <c r="C43" s="324">
        <v>5.37</v>
      </c>
      <c r="D43" s="324">
        <v>5.37</v>
      </c>
      <c r="E43" s="324">
        <v>5.37</v>
      </c>
      <c r="F43" s="324">
        <v>5.37</v>
      </c>
      <c r="G43" s="324">
        <v>5.38</v>
      </c>
      <c r="H43" s="326">
        <v>5.37</v>
      </c>
      <c r="I43" s="39">
        <f t="shared" si="31"/>
        <v>5.3716666666666661</v>
      </c>
      <c r="J43" s="39">
        <f t="shared" si="34"/>
        <v>32.229999999999997</v>
      </c>
      <c r="K43" s="2"/>
      <c r="L43" s="187"/>
      <c r="M43" s="2"/>
    </row>
    <row r="44" spans="1:13" x14ac:dyDescent="0.3">
      <c r="A44" s="36" t="s">
        <v>461</v>
      </c>
      <c r="B44" s="37"/>
      <c r="C44" s="324">
        <v>0</v>
      </c>
      <c r="D44" s="324">
        <v>0</v>
      </c>
      <c r="E44" s="324">
        <v>0</v>
      </c>
      <c r="F44" s="324">
        <v>0</v>
      </c>
      <c r="G44" s="324">
        <v>0</v>
      </c>
      <c r="H44" s="326">
        <v>0</v>
      </c>
      <c r="I44" s="39">
        <f t="shared" si="31"/>
        <v>0</v>
      </c>
      <c r="J44" s="39">
        <f t="shared" si="34"/>
        <v>0</v>
      </c>
      <c r="K44" s="2"/>
      <c r="L44" s="187"/>
      <c r="M44" s="2"/>
    </row>
    <row r="45" spans="1:13" x14ac:dyDescent="0.3">
      <c r="A45" s="115" t="s">
        <v>332</v>
      </c>
      <c r="B45" s="53"/>
      <c r="C45" s="351">
        <v>0</v>
      </c>
      <c r="D45" s="352">
        <v>0</v>
      </c>
      <c r="E45" s="352">
        <v>0</v>
      </c>
      <c r="F45" s="352">
        <v>0</v>
      </c>
      <c r="G45" s="352">
        <v>0</v>
      </c>
      <c r="H45" s="353">
        <v>0</v>
      </c>
      <c r="I45" s="301">
        <f t="shared" si="31"/>
        <v>0</v>
      </c>
      <c r="J45" s="301">
        <f t="shared" si="34"/>
        <v>0</v>
      </c>
      <c r="K45" s="2"/>
      <c r="L45" s="195"/>
      <c r="M45" s="2"/>
    </row>
    <row r="46" spans="1:13" x14ac:dyDescent="0.3">
      <c r="A46" s="115" t="s">
        <v>463</v>
      </c>
      <c r="B46" s="53"/>
      <c r="C46" s="351">
        <v>0</v>
      </c>
      <c r="D46" s="352">
        <v>0</v>
      </c>
      <c r="E46" s="352">
        <v>0</v>
      </c>
      <c r="F46" s="352">
        <v>0</v>
      </c>
      <c r="G46" s="352">
        <v>0</v>
      </c>
      <c r="H46" s="353">
        <v>0</v>
      </c>
      <c r="I46" s="301">
        <f t="shared" ref="I46" si="35">IFERROR(AVERAGE(C46:H46),0)</f>
        <v>0</v>
      </c>
      <c r="J46" s="301">
        <f t="shared" ref="J46" si="36">SUM(C46:H46)</f>
        <v>0</v>
      </c>
      <c r="K46" s="2"/>
      <c r="L46" s="195"/>
      <c r="M46" s="2"/>
    </row>
    <row r="47" spans="1:13" x14ac:dyDescent="0.3">
      <c r="A47" s="115" t="s">
        <v>360</v>
      </c>
      <c r="B47" s="53"/>
      <c r="C47" s="351">
        <v>11</v>
      </c>
      <c r="D47" s="352">
        <v>11</v>
      </c>
      <c r="E47" s="352">
        <v>11</v>
      </c>
      <c r="F47" s="352">
        <v>11</v>
      </c>
      <c r="G47" s="352">
        <v>11</v>
      </c>
      <c r="H47" s="353">
        <v>11</v>
      </c>
      <c r="I47" s="301">
        <f t="shared" si="31"/>
        <v>11</v>
      </c>
      <c r="J47" s="301">
        <f t="shared" si="34"/>
        <v>66</v>
      </c>
      <c r="K47" s="2"/>
      <c r="L47" s="195"/>
      <c r="M47" s="2"/>
    </row>
    <row r="48" spans="1:13" x14ac:dyDescent="0.3">
      <c r="A48" s="18" t="s">
        <v>345</v>
      </c>
      <c r="B48" s="34"/>
      <c r="C48" s="60">
        <f>C40+C45+C46+C47</f>
        <v>177.71</v>
      </c>
      <c r="D48" s="19">
        <f t="shared" ref="D48:H48" si="37">D40+D45+D46+D47</f>
        <v>180.44</v>
      </c>
      <c r="E48" s="19">
        <f t="shared" si="37"/>
        <v>178.27</v>
      </c>
      <c r="F48" s="19">
        <f t="shared" si="37"/>
        <v>176.44</v>
      </c>
      <c r="G48" s="19">
        <f t="shared" si="37"/>
        <v>176.01999999999998</v>
      </c>
      <c r="H48" s="35">
        <f t="shared" si="37"/>
        <v>176.02</v>
      </c>
      <c r="I48" s="35">
        <f t="shared" si="31"/>
        <v>177.48333333333332</v>
      </c>
      <c r="J48" s="35">
        <f t="shared" si="34"/>
        <v>1064.8999999999999</v>
      </c>
      <c r="K48" s="2"/>
      <c r="L48" s="195"/>
      <c r="M48" s="31"/>
    </row>
    <row r="49" spans="1:13" x14ac:dyDescent="0.3">
      <c r="C49" s="242"/>
      <c r="D49" s="163"/>
      <c r="E49" s="163"/>
      <c r="F49" s="163"/>
      <c r="G49" s="163"/>
      <c r="H49" s="163"/>
      <c r="I49" s="163"/>
      <c r="J49" s="2"/>
      <c r="K49" s="2"/>
      <c r="L49" s="2"/>
      <c r="M49" s="2"/>
    </row>
    <row r="50" spans="1:13" x14ac:dyDescent="0.3">
      <c r="C50" s="242"/>
      <c r="D50" s="163"/>
      <c r="E50" s="163"/>
      <c r="F50" s="163"/>
      <c r="G50" s="163"/>
      <c r="H50" s="163"/>
      <c r="I50" s="163"/>
      <c r="J50" s="2"/>
      <c r="K50" s="2"/>
      <c r="L50" s="2"/>
      <c r="M50" s="2"/>
    </row>
    <row r="51" spans="1:13" x14ac:dyDescent="0.3">
      <c r="A51" s="42" t="s">
        <v>231</v>
      </c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163"/>
    </row>
    <row r="52" spans="1:13" x14ac:dyDescent="0.3">
      <c r="C52" s="242"/>
      <c r="D52" s="163"/>
      <c r="E52" s="163"/>
      <c r="F52" s="163"/>
      <c r="G52" s="163"/>
      <c r="H52" s="163"/>
      <c r="I52" s="163"/>
      <c r="J52" s="2"/>
      <c r="K52" s="2"/>
      <c r="L52" s="2"/>
      <c r="M52" s="2"/>
    </row>
    <row r="53" spans="1:13" ht="27.65" customHeight="1" x14ac:dyDescent="0.3">
      <c r="A53" s="678" t="s">
        <v>348</v>
      </c>
      <c r="B53" s="678" t="s">
        <v>349</v>
      </c>
      <c r="C53" s="3">
        <f>Annee</f>
        <v>2024</v>
      </c>
      <c r="D53" s="291">
        <f>C53+1</f>
        <v>2025</v>
      </c>
      <c r="E53" s="291">
        <f t="shared" ref="E53:G53" si="38">D53+1</f>
        <v>2026</v>
      </c>
      <c r="F53" s="291">
        <f t="shared" si="38"/>
        <v>2027</v>
      </c>
      <c r="G53" s="291">
        <f t="shared" si="38"/>
        <v>2028</v>
      </c>
      <c r="H53" s="295">
        <f>G53+1</f>
        <v>2029</v>
      </c>
      <c r="I53" s="179" t="s">
        <v>271</v>
      </c>
      <c r="J53" s="4" t="s">
        <v>62</v>
      </c>
      <c r="K53" s="2"/>
      <c r="L53" s="683" t="s">
        <v>305</v>
      </c>
      <c r="M53" s="2"/>
    </row>
    <row r="54" spans="1:13" ht="14.5" customHeight="1" x14ac:dyDescent="0.3">
      <c r="A54" s="679"/>
      <c r="B54" s="679"/>
      <c r="C54" s="77">
        <v>12</v>
      </c>
      <c r="D54" s="77">
        <v>12</v>
      </c>
      <c r="E54" s="77">
        <v>12</v>
      </c>
      <c r="F54" s="77">
        <v>12</v>
      </c>
      <c r="G54" s="77">
        <v>12</v>
      </c>
      <c r="H54" s="77">
        <v>12</v>
      </c>
      <c r="I54" s="78">
        <f t="shared" ref="I54:I99" si="39">IFERROR(AVERAGE(C54:H54),0)</f>
        <v>12</v>
      </c>
      <c r="J54" s="78">
        <f t="shared" ref="J54" si="40">SUM(C54:H54)</f>
        <v>72</v>
      </c>
      <c r="K54" s="2"/>
      <c r="L54" s="699"/>
      <c r="M54" s="2"/>
    </row>
    <row r="55" spans="1:13" x14ac:dyDescent="0.3">
      <c r="A55" s="115" t="s">
        <v>328</v>
      </c>
      <c r="B55" s="53"/>
      <c r="C55" s="223">
        <f>C56+C61+C62+C63</f>
        <v>3527632.7372100605</v>
      </c>
      <c r="D55" s="221">
        <f t="shared" ref="D55" si="41">D56+D61+D62+D63</f>
        <v>3406312.230848616</v>
      </c>
      <c r="E55" s="221">
        <f t="shared" ref="E55" si="42">E56+E61+E62+E63</f>
        <v>3336696.9232496745</v>
      </c>
      <c r="F55" s="221">
        <f t="shared" ref="F55" si="43">F56+F61+F62+F63</f>
        <v>3250336.3237993643</v>
      </c>
      <c r="G55" s="221">
        <f t="shared" ref="G55" si="44">G56+G61+G62+G63</f>
        <v>3209334.7903298563</v>
      </c>
      <c r="H55" s="222">
        <f t="shared" ref="H55" si="45">H56+H61+H62+H63</f>
        <v>3152732.3876465042</v>
      </c>
      <c r="I55" s="301">
        <f t="shared" si="39"/>
        <v>3313840.8988473457</v>
      </c>
      <c r="J55" s="301">
        <f>SUM(C55:H55)</f>
        <v>19883045.393084075</v>
      </c>
      <c r="K55" s="2"/>
      <c r="L55" s="494" t="s">
        <v>308</v>
      </c>
      <c r="M55" s="2"/>
    </row>
    <row r="56" spans="1:13" x14ac:dyDescent="0.3">
      <c r="A56" s="116" t="s">
        <v>356</v>
      </c>
      <c r="B56" s="313">
        <f>IFERROR(J56/(J$10+J$19+J$28),"-")</f>
        <v>0.37785995714203691</v>
      </c>
      <c r="C56" s="294">
        <f>SUM(C57:C60)</f>
        <v>3478095.6918619326</v>
      </c>
      <c r="D56" s="297">
        <f t="shared" ref="D56:H56" si="46">SUM(D57:D60)</f>
        <v>3356775.1855004882</v>
      </c>
      <c r="E56" s="297">
        <f t="shared" si="46"/>
        <v>3287159.8779015467</v>
      </c>
      <c r="F56" s="297">
        <f t="shared" si="46"/>
        <v>3200799.2784512364</v>
      </c>
      <c r="G56" s="297">
        <f t="shared" si="46"/>
        <v>3159797.7449817285</v>
      </c>
      <c r="H56" s="296">
        <f t="shared" si="46"/>
        <v>3103195.3422983764</v>
      </c>
      <c r="I56" s="62">
        <f t="shared" si="39"/>
        <v>3264303.8534992184</v>
      </c>
      <c r="J56" s="62">
        <f>SUM(C56:H56)</f>
        <v>19585823.120995309</v>
      </c>
      <c r="K56" s="2"/>
      <c r="L56" s="187"/>
      <c r="M56" s="2"/>
    </row>
    <row r="57" spans="1:13" x14ac:dyDescent="0.3">
      <c r="A57" s="36" t="s">
        <v>357</v>
      </c>
      <c r="B57" s="37">
        <f>IFERROR(J57/(J$11+J$20+J$29),"-")</f>
        <v>0.39911775920670167</v>
      </c>
      <c r="C57" s="324">
        <v>2407556.1833488932</v>
      </c>
      <c r="D57" s="325">
        <v>2340201.448118153</v>
      </c>
      <c r="E57" s="325">
        <v>2301552.4121722947</v>
      </c>
      <c r="F57" s="325">
        <v>2270410.1264091064</v>
      </c>
      <c r="G57" s="325">
        <v>2244440.3209483135</v>
      </c>
      <c r="H57" s="326">
        <v>2215667.1101340428</v>
      </c>
      <c r="I57" s="10">
        <f t="shared" si="39"/>
        <v>2296637.9335218007</v>
      </c>
      <c r="J57" s="39">
        <f t="shared" ref="J57:J63" si="47">SUM(C57:H57)</f>
        <v>13779827.601130804</v>
      </c>
      <c r="K57" s="2"/>
      <c r="L57" s="186"/>
      <c r="M57" s="2"/>
    </row>
    <row r="58" spans="1:13" ht="13.15" customHeight="1" x14ac:dyDescent="0.3">
      <c r="A58" s="36" t="s">
        <v>358</v>
      </c>
      <c r="B58" s="37">
        <f>IFERROR(J58/(J$12+J$21+J$30),"-")</f>
        <v>0.33312976591340082</v>
      </c>
      <c r="C58" s="324">
        <v>975604.34924541903</v>
      </c>
      <c r="D58" s="324">
        <v>921638.57811471436</v>
      </c>
      <c r="E58" s="324">
        <v>890672.30646163144</v>
      </c>
      <c r="F58" s="324">
        <v>848008.92692066683</v>
      </c>
      <c r="G58" s="324">
        <v>830581.35949120997</v>
      </c>
      <c r="H58" s="326">
        <v>804733.14325461537</v>
      </c>
      <c r="I58" s="39">
        <f t="shared" si="39"/>
        <v>878539.77724804275</v>
      </c>
      <c r="J58" s="39">
        <f t="shared" si="47"/>
        <v>5271238.6634882567</v>
      </c>
      <c r="K58" s="2"/>
      <c r="L58" s="187"/>
      <c r="M58" s="2"/>
    </row>
    <row r="59" spans="1:13" x14ac:dyDescent="0.3">
      <c r="A59" s="36" t="s">
        <v>359</v>
      </c>
      <c r="B59" s="37">
        <f>IFERROR(J59/(J$13+J$22+J$31),"-")</f>
        <v>0.36023856176847918</v>
      </c>
      <c r="C59" s="324">
        <v>94935.159267620838</v>
      </c>
      <c r="D59" s="324">
        <v>94935.159267620838</v>
      </c>
      <c r="E59" s="324">
        <v>94935.159267620838</v>
      </c>
      <c r="F59" s="324">
        <v>82380.225121463038</v>
      </c>
      <c r="G59" s="324">
        <v>84776.064542205175</v>
      </c>
      <c r="H59" s="326">
        <v>82795.088909718092</v>
      </c>
      <c r="I59" s="39">
        <f t="shared" si="39"/>
        <v>89126.142729374813</v>
      </c>
      <c r="J59" s="39">
        <f t="shared" si="47"/>
        <v>534756.85637624888</v>
      </c>
      <c r="K59" s="2"/>
      <c r="L59" s="187"/>
      <c r="M59" s="2"/>
    </row>
    <row r="60" spans="1:13" x14ac:dyDescent="0.3">
      <c r="A60" s="36" t="s">
        <v>461</v>
      </c>
      <c r="B60" s="37" t="str">
        <f>IFERROR(J60/(J$14+J$23+J$32),"-")</f>
        <v>-</v>
      </c>
      <c r="C60" s="324">
        <v>0</v>
      </c>
      <c r="D60" s="324">
        <v>0</v>
      </c>
      <c r="E60" s="324">
        <v>0</v>
      </c>
      <c r="F60" s="324">
        <v>0</v>
      </c>
      <c r="G60" s="324">
        <v>0</v>
      </c>
      <c r="H60" s="326">
        <v>0</v>
      </c>
      <c r="I60" s="39">
        <f t="shared" si="39"/>
        <v>0</v>
      </c>
      <c r="J60" s="39">
        <f t="shared" si="47"/>
        <v>0</v>
      </c>
      <c r="K60" s="2"/>
      <c r="L60" s="187"/>
      <c r="M60" s="2"/>
    </row>
    <row r="61" spans="1:13" x14ac:dyDescent="0.3">
      <c r="A61" s="116" t="s">
        <v>332</v>
      </c>
      <c r="B61" s="313" t="str">
        <f>IFERROR(J61/(J$15+J$24+J$33),"-")</f>
        <v>-</v>
      </c>
      <c r="C61" s="351">
        <v>0</v>
      </c>
      <c r="D61" s="352">
        <v>0</v>
      </c>
      <c r="E61" s="352">
        <v>0</v>
      </c>
      <c r="F61" s="352">
        <v>0</v>
      </c>
      <c r="G61" s="352">
        <v>0</v>
      </c>
      <c r="H61" s="353">
        <v>0</v>
      </c>
      <c r="I61" s="62">
        <f t="shared" si="39"/>
        <v>0</v>
      </c>
      <c r="J61" s="62">
        <f t="shared" si="47"/>
        <v>0</v>
      </c>
      <c r="K61" s="2"/>
      <c r="L61" s="195"/>
      <c r="M61" s="2"/>
    </row>
    <row r="62" spans="1:13" x14ac:dyDescent="0.3">
      <c r="A62" s="116" t="s">
        <v>463</v>
      </c>
      <c r="B62" s="313" t="str">
        <f>IFERROR(J62/(J$16+J$25+J$34),"-")</f>
        <v>-</v>
      </c>
      <c r="C62" s="351">
        <v>0</v>
      </c>
      <c r="D62" s="352">
        <v>0</v>
      </c>
      <c r="E62" s="352">
        <v>0</v>
      </c>
      <c r="F62" s="352">
        <v>0</v>
      </c>
      <c r="G62" s="352">
        <v>0</v>
      </c>
      <c r="H62" s="353">
        <v>0</v>
      </c>
      <c r="I62" s="62">
        <f t="shared" ref="I62" si="48">IFERROR(AVERAGE(C62:H62),0)</f>
        <v>0</v>
      </c>
      <c r="J62" s="62">
        <f t="shared" ref="J62" si="49">SUM(C62:H62)</f>
        <v>0</v>
      </c>
      <c r="K62" s="2"/>
      <c r="L62" s="195"/>
      <c r="M62" s="2"/>
    </row>
    <row r="63" spans="1:13" x14ac:dyDescent="0.3">
      <c r="A63" s="116" t="s">
        <v>360</v>
      </c>
      <c r="B63" s="313">
        <f>IFERROR(J63/(J$17+J$26+J$35),"-")</f>
        <v>0.14853600000000006</v>
      </c>
      <c r="C63" s="351">
        <v>49537.04534812802</v>
      </c>
      <c r="D63" s="352">
        <v>49537.04534812802</v>
      </c>
      <c r="E63" s="352">
        <v>49537.04534812802</v>
      </c>
      <c r="F63" s="352">
        <v>49537.04534812802</v>
      </c>
      <c r="G63" s="352">
        <v>49537.04534812802</v>
      </c>
      <c r="H63" s="353">
        <v>49537.04534812802</v>
      </c>
      <c r="I63" s="62">
        <f t="shared" si="39"/>
        <v>49537.04534812802</v>
      </c>
      <c r="J63" s="62">
        <f t="shared" si="47"/>
        <v>297222.27208876814</v>
      </c>
      <c r="K63" s="2"/>
      <c r="L63" s="195"/>
      <c r="M63" s="2"/>
    </row>
    <row r="64" spans="1:13" x14ac:dyDescent="0.3">
      <c r="A64" s="115" t="s">
        <v>71</v>
      </c>
      <c r="B64" s="53"/>
      <c r="C64" s="223">
        <f>C65+C70+C71+C72</f>
        <v>139612.03346003327</v>
      </c>
      <c r="D64" s="221">
        <f t="shared" ref="D64" si="50">D65+D70+D71+D72</f>
        <v>130929.06055506536</v>
      </c>
      <c r="E64" s="221">
        <f t="shared" ref="E64" si="51">E65+E70+E71+E72</f>
        <v>125946.59417055717</v>
      </c>
      <c r="F64" s="221">
        <f t="shared" ref="F64" si="52">F65+F70+F71+F72</f>
        <v>122134.90267390462</v>
      </c>
      <c r="G64" s="221">
        <f t="shared" ref="G64" si="53">G65+G70+G71+G72</f>
        <v>118628.29566979196</v>
      </c>
      <c r="H64" s="222">
        <f t="shared" ref="H64" si="54">H65+H70+H71+H72</f>
        <v>114822.71396096608</v>
      </c>
      <c r="I64" s="301">
        <f t="shared" si="39"/>
        <v>125345.60008171975</v>
      </c>
      <c r="J64" s="301">
        <f>SUM(C64:H64)</f>
        <v>752073.60049031849</v>
      </c>
      <c r="K64" s="2"/>
      <c r="L64" s="494" t="s">
        <v>308</v>
      </c>
      <c r="M64" s="2"/>
    </row>
    <row r="65" spans="1:13" x14ac:dyDescent="0.3">
      <c r="A65" s="116" t="s">
        <v>356</v>
      </c>
      <c r="B65" s="313">
        <f>IFERROR(J65/(J$10+J$19+J$28),"-")</f>
        <v>1.4444474824611087E-2</v>
      </c>
      <c r="C65" s="294">
        <f>SUM(C66:C69)</f>
        <v>139051.16894114105</v>
      </c>
      <c r="D65" s="297">
        <f t="shared" ref="D65:H65" si="55">SUM(D66:D69)</f>
        <v>130368.19603617313</v>
      </c>
      <c r="E65" s="297">
        <f t="shared" si="55"/>
        <v>125385.72965166495</v>
      </c>
      <c r="F65" s="297">
        <f t="shared" si="55"/>
        <v>121574.0381550124</v>
      </c>
      <c r="G65" s="297">
        <f t="shared" si="55"/>
        <v>118067.43115089973</v>
      </c>
      <c r="H65" s="296">
        <f t="shared" si="55"/>
        <v>114261.84944207386</v>
      </c>
      <c r="I65" s="62">
        <f t="shared" si="39"/>
        <v>124784.73556282751</v>
      </c>
      <c r="J65" s="62">
        <f>SUM(C65:H65)</f>
        <v>748708.41337696509</v>
      </c>
      <c r="K65" s="2"/>
      <c r="L65" s="187"/>
      <c r="M65" s="2"/>
    </row>
    <row r="66" spans="1:13" x14ac:dyDescent="0.3">
      <c r="A66" s="36" t="s">
        <v>357</v>
      </c>
      <c r="B66" s="37">
        <f>IFERROR(J66/(J$11+J$20+J$29),"-")</f>
        <v>1.6182831876611931E-2</v>
      </c>
      <c r="C66" s="324">
        <v>100930.3905716803</v>
      </c>
      <c r="D66" s="325">
        <v>96109.776492742836</v>
      </c>
      <c r="E66" s="325">
        <v>93343.610127389926</v>
      </c>
      <c r="F66" s="325">
        <v>91368.220348091898</v>
      </c>
      <c r="G66" s="325">
        <v>89518.894804495925</v>
      </c>
      <c r="H66" s="326">
        <v>87453.013605139349</v>
      </c>
      <c r="I66" s="10">
        <f t="shared" si="39"/>
        <v>93120.650991590053</v>
      </c>
      <c r="J66" s="39">
        <f t="shared" ref="J66:J72" si="56">SUM(C66:H66)</f>
        <v>558723.90594954032</v>
      </c>
      <c r="K66" s="2"/>
      <c r="L66" s="186"/>
      <c r="M66" s="2"/>
    </row>
    <row r="67" spans="1:13" ht="13.15" customHeight="1" x14ac:dyDescent="0.3">
      <c r="A67" s="36" t="s">
        <v>358</v>
      </c>
      <c r="B67" s="37">
        <f>IFERROR(J67/(J$12+J$21+J$30),"-")</f>
        <v>1.0749982615589506E-2</v>
      </c>
      <c r="C67" s="324">
        <v>34724.157389919841</v>
      </c>
      <c r="D67" s="324">
        <v>30861.798563889395</v>
      </c>
      <c r="E67" s="324">
        <v>28645.498544734117</v>
      </c>
      <c r="F67" s="324">
        <v>26914.387078551023</v>
      </c>
      <c r="G67" s="324">
        <v>25329.934150444489</v>
      </c>
      <c r="H67" s="326">
        <v>23625.277355338854</v>
      </c>
      <c r="I67" s="39">
        <f t="shared" si="39"/>
        <v>28350.175513812952</v>
      </c>
      <c r="J67" s="39">
        <f t="shared" si="56"/>
        <v>170101.05308287771</v>
      </c>
      <c r="K67" s="2"/>
      <c r="L67" s="187"/>
      <c r="M67" s="2"/>
    </row>
    <row r="68" spans="1:13" x14ac:dyDescent="0.3">
      <c r="A68" s="36" t="s">
        <v>359</v>
      </c>
      <c r="B68" s="37">
        <f>IFERROR(J68/(J$13+J$22+J$31),"-")</f>
        <v>1.3394474349720624E-2</v>
      </c>
      <c r="C68" s="324">
        <v>3396.6209795409145</v>
      </c>
      <c r="D68" s="324">
        <v>3396.6209795409145</v>
      </c>
      <c r="E68" s="324">
        <v>3396.6209795409145</v>
      </c>
      <c r="F68" s="324">
        <v>3291.4307283694811</v>
      </c>
      <c r="G68" s="324">
        <v>3218.6021959593209</v>
      </c>
      <c r="H68" s="326">
        <v>3183.5584815956513</v>
      </c>
      <c r="I68" s="39">
        <f t="shared" si="39"/>
        <v>3313.9090574245329</v>
      </c>
      <c r="J68" s="39">
        <f t="shared" si="56"/>
        <v>19883.454344547197</v>
      </c>
      <c r="K68" s="2"/>
      <c r="L68" s="187"/>
      <c r="M68" s="2"/>
    </row>
    <row r="69" spans="1:13" x14ac:dyDescent="0.3">
      <c r="A69" s="36" t="s">
        <v>461</v>
      </c>
      <c r="B69" s="37" t="str">
        <f>IFERROR(J69/(J$14+J$23+J$32),"-")</f>
        <v>-</v>
      </c>
      <c r="C69" s="324">
        <v>0</v>
      </c>
      <c r="D69" s="324">
        <v>0</v>
      </c>
      <c r="E69" s="324">
        <v>0</v>
      </c>
      <c r="F69" s="324">
        <v>0</v>
      </c>
      <c r="G69" s="324">
        <v>0</v>
      </c>
      <c r="H69" s="326">
        <v>0</v>
      </c>
      <c r="I69" s="39">
        <f t="shared" si="39"/>
        <v>0</v>
      </c>
      <c r="J69" s="39">
        <f t="shared" si="56"/>
        <v>0</v>
      </c>
      <c r="K69" s="2"/>
      <c r="L69" s="187"/>
      <c r="M69" s="2"/>
    </row>
    <row r="70" spans="1:13" x14ac:dyDescent="0.3">
      <c r="A70" s="116" t="s">
        <v>332</v>
      </c>
      <c r="B70" s="313" t="str">
        <f>IFERROR(J70/(J$15+J$24+J$33),"-")</f>
        <v>-</v>
      </c>
      <c r="C70" s="351">
        <v>0</v>
      </c>
      <c r="D70" s="352">
        <v>0</v>
      </c>
      <c r="E70" s="352">
        <v>0</v>
      </c>
      <c r="F70" s="352">
        <v>0</v>
      </c>
      <c r="G70" s="352">
        <v>0</v>
      </c>
      <c r="H70" s="353">
        <v>0</v>
      </c>
      <c r="I70" s="62">
        <f t="shared" si="39"/>
        <v>0</v>
      </c>
      <c r="J70" s="62">
        <f t="shared" si="56"/>
        <v>0</v>
      </c>
      <c r="K70" s="2"/>
      <c r="L70" s="195"/>
      <c r="M70" s="2"/>
    </row>
    <row r="71" spans="1:13" x14ac:dyDescent="0.3">
      <c r="A71" s="116" t="s">
        <v>463</v>
      </c>
      <c r="B71" s="313" t="str">
        <f>IFERROR(J71/(J$16+J$25+J$34),"-")</f>
        <v>-</v>
      </c>
      <c r="C71" s="351">
        <v>0</v>
      </c>
      <c r="D71" s="352">
        <v>0</v>
      </c>
      <c r="E71" s="352">
        <v>0</v>
      </c>
      <c r="F71" s="352">
        <v>0</v>
      </c>
      <c r="G71" s="352">
        <v>0</v>
      </c>
      <c r="H71" s="353">
        <v>0</v>
      </c>
      <c r="I71" s="62">
        <f t="shared" ref="I71" si="57">IFERROR(AVERAGE(C71:H71),0)</f>
        <v>0</v>
      </c>
      <c r="J71" s="62">
        <f t="shared" ref="J71" si="58">SUM(C71:H71)</f>
        <v>0</v>
      </c>
      <c r="K71" s="2"/>
      <c r="L71" s="195"/>
      <c r="M71" s="2"/>
    </row>
    <row r="72" spans="1:13" x14ac:dyDescent="0.3">
      <c r="A72" s="116" t="s">
        <v>360</v>
      </c>
      <c r="B72" s="313">
        <f>IFERROR(J72/(J$17+J$26+J$35),"-")</f>
        <v>1.6817428571428575E-3</v>
      </c>
      <c r="C72" s="351">
        <v>560.86451889222883</v>
      </c>
      <c r="D72" s="352">
        <v>560.86451889222883</v>
      </c>
      <c r="E72" s="352">
        <v>560.86451889222883</v>
      </c>
      <c r="F72" s="352">
        <v>560.86451889222883</v>
      </c>
      <c r="G72" s="352">
        <v>560.86451889222883</v>
      </c>
      <c r="H72" s="353">
        <v>560.86451889222883</v>
      </c>
      <c r="I72" s="62">
        <f t="shared" ref="I72" si="59">IFERROR(AVERAGE(C72:H72),0)</f>
        <v>560.86451889222883</v>
      </c>
      <c r="J72" s="62">
        <f t="shared" si="56"/>
        <v>3365.1871133533728</v>
      </c>
      <c r="K72" s="2"/>
      <c r="L72" s="195"/>
      <c r="M72" s="2"/>
    </row>
    <row r="73" spans="1:13" x14ac:dyDescent="0.3">
      <c r="A73" s="115" t="s">
        <v>72</v>
      </c>
      <c r="B73" s="53"/>
      <c r="C73" s="223">
        <f>C74+C79+C80+C81</f>
        <v>171220.09158399995</v>
      </c>
      <c r="D73" s="221">
        <f t="shared" ref="D73" si="60">D74+D79+D80+D81</f>
        <v>171220.09158399989</v>
      </c>
      <c r="E73" s="221">
        <f t="shared" ref="E73" si="61">E74+E79+E80+E81</f>
        <v>171220.09158400001</v>
      </c>
      <c r="F73" s="221">
        <f t="shared" ref="F73" si="62">F74+F79+F80+F81</f>
        <v>171220.09158399989</v>
      </c>
      <c r="G73" s="221">
        <f t="shared" ref="G73" si="63">G74+G79+G80+G81</f>
        <v>171220.09158399992</v>
      </c>
      <c r="H73" s="222">
        <f t="shared" ref="H73" si="64">H74+H79+H80+H81</f>
        <v>171220.09158400004</v>
      </c>
      <c r="I73" s="301">
        <f t="shared" si="39"/>
        <v>171220.09158399995</v>
      </c>
      <c r="J73" s="301">
        <f>SUM(C73:H73)</f>
        <v>1027320.5495039998</v>
      </c>
      <c r="K73" s="2"/>
      <c r="L73" s="494" t="s">
        <v>310</v>
      </c>
      <c r="M73" s="2"/>
    </row>
    <row r="74" spans="1:13" x14ac:dyDescent="0.3">
      <c r="A74" s="116" t="s">
        <v>356</v>
      </c>
      <c r="B74" s="313">
        <f>IFERROR(J74/(J$10+J$19+J$28),"-")</f>
        <v>1.9819606069585934E-2</v>
      </c>
      <c r="C74" s="294">
        <f>SUM(C75:C78)</f>
        <v>171220.09158399995</v>
      </c>
      <c r="D74" s="297">
        <f t="shared" ref="D74:H74" si="65">SUM(D75:D78)</f>
        <v>171220.09158399989</v>
      </c>
      <c r="E74" s="297">
        <f t="shared" si="65"/>
        <v>171220.09158400001</v>
      </c>
      <c r="F74" s="297">
        <f t="shared" si="65"/>
        <v>171220.09158399989</v>
      </c>
      <c r="G74" s="297">
        <f t="shared" si="65"/>
        <v>171220.09158399992</v>
      </c>
      <c r="H74" s="296">
        <f t="shared" si="65"/>
        <v>171220.09158400004</v>
      </c>
      <c r="I74" s="62">
        <f t="shared" si="39"/>
        <v>171220.09158399995</v>
      </c>
      <c r="J74" s="62">
        <f>SUM(C74:H74)</f>
        <v>1027320.5495039998</v>
      </c>
      <c r="K74" s="2"/>
      <c r="L74" s="187"/>
      <c r="M74" s="2"/>
    </row>
    <row r="75" spans="1:13" x14ac:dyDescent="0.3">
      <c r="A75" s="36" t="s">
        <v>357</v>
      </c>
      <c r="B75" s="37">
        <f>IFERROR(J75/(J$11+J$20+J$29),"-")</f>
        <v>2.0280606947869637E-2</v>
      </c>
      <c r="C75" s="324">
        <v>116700.42276219792</v>
      </c>
      <c r="D75" s="325">
        <v>116700.42276219789</v>
      </c>
      <c r="E75" s="325">
        <v>116700.42276219795</v>
      </c>
      <c r="F75" s="325">
        <v>116700.42276219789</v>
      </c>
      <c r="G75" s="325">
        <v>116700.42276219789</v>
      </c>
      <c r="H75" s="326">
        <v>116700.42276219797</v>
      </c>
      <c r="I75" s="10">
        <f t="shared" si="39"/>
        <v>116700.42276219791</v>
      </c>
      <c r="J75" s="39">
        <f t="shared" ref="J75:J81" si="66">SUM(C75:H75)</f>
        <v>700202.53657318745</v>
      </c>
      <c r="K75" s="2"/>
      <c r="L75" s="186"/>
      <c r="M75" s="2"/>
    </row>
    <row r="76" spans="1:13" ht="13.15" customHeight="1" x14ac:dyDescent="0.3">
      <c r="A76" s="36" t="s">
        <v>358</v>
      </c>
      <c r="B76" s="37">
        <f>IFERROR(J76/(J$12+J$21+J$30),"-")</f>
        <v>1.890000000000084E-2</v>
      </c>
      <c r="C76" s="324">
        <v>49843.644996602205</v>
      </c>
      <c r="D76" s="324">
        <v>49843.644996602176</v>
      </c>
      <c r="E76" s="324">
        <v>49843.644996602226</v>
      </c>
      <c r="F76" s="324">
        <v>49843.644996602168</v>
      </c>
      <c r="G76" s="324">
        <v>49843.644996602183</v>
      </c>
      <c r="H76" s="326">
        <v>49843.644996602234</v>
      </c>
      <c r="I76" s="39">
        <f t="shared" si="39"/>
        <v>49843.644996602205</v>
      </c>
      <c r="J76" s="39">
        <f t="shared" si="66"/>
        <v>299061.86997961323</v>
      </c>
      <c r="K76" s="2"/>
      <c r="L76" s="187"/>
      <c r="M76" s="2"/>
    </row>
    <row r="77" spans="1:13" x14ac:dyDescent="0.3">
      <c r="A77" s="36" t="s">
        <v>359</v>
      </c>
      <c r="B77" s="37">
        <f>IFERROR(J77/(J$13+J$22+J$31),"-")</f>
        <v>1.8899999999999442E-2</v>
      </c>
      <c r="C77" s="324">
        <v>4676.0238251998426</v>
      </c>
      <c r="D77" s="324">
        <v>4676.0238251998426</v>
      </c>
      <c r="E77" s="324">
        <v>4676.0238251998426</v>
      </c>
      <c r="F77" s="324">
        <v>4676.0238251998435</v>
      </c>
      <c r="G77" s="324">
        <v>4676.0238251998435</v>
      </c>
      <c r="H77" s="326">
        <v>4676.0238251998435</v>
      </c>
      <c r="I77" s="39">
        <f t="shared" si="39"/>
        <v>4676.0238251998444</v>
      </c>
      <c r="J77" s="39">
        <f t="shared" si="66"/>
        <v>28056.142951199065</v>
      </c>
      <c r="K77" s="2"/>
      <c r="L77" s="187"/>
      <c r="M77" s="2"/>
    </row>
    <row r="78" spans="1:13" x14ac:dyDescent="0.3">
      <c r="A78" s="36" t="s">
        <v>461</v>
      </c>
      <c r="B78" s="37" t="str">
        <f>IFERROR(J78/(J$14+J$23+J$32),"-")</f>
        <v>-</v>
      </c>
      <c r="C78" s="324">
        <v>0</v>
      </c>
      <c r="D78" s="324">
        <v>0</v>
      </c>
      <c r="E78" s="324">
        <v>0</v>
      </c>
      <c r="F78" s="324">
        <v>0</v>
      </c>
      <c r="G78" s="324">
        <v>0</v>
      </c>
      <c r="H78" s="326">
        <v>0</v>
      </c>
      <c r="I78" s="39">
        <f t="shared" si="39"/>
        <v>0</v>
      </c>
      <c r="J78" s="39">
        <f t="shared" si="66"/>
        <v>0</v>
      </c>
      <c r="K78" s="2"/>
      <c r="L78" s="187"/>
      <c r="M78" s="2"/>
    </row>
    <row r="79" spans="1:13" x14ac:dyDescent="0.3">
      <c r="A79" s="116" t="s">
        <v>332</v>
      </c>
      <c r="B79" s="313" t="str">
        <f>IFERROR(J79/(J$15+J$24+J$33),"-")</f>
        <v>-</v>
      </c>
      <c r="C79" s="351">
        <v>0</v>
      </c>
      <c r="D79" s="352">
        <v>0</v>
      </c>
      <c r="E79" s="352">
        <v>0</v>
      </c>
      <c r="F79" s="352">
        <v>0</v>
      </c>
      <c r="G79" s="352">
        <v>0</v>
      </c>
      <c r="H79" s="353">
        <v>0</v>
      </c>
      <c r="I79" s="62">
        <f t="shared" si="39"/>
        <v>0</v>
      </c>
      <c r="J79" s="62">
        <f t="shared" si="66"/>
        <v>0</v>
      </c>
      <c r="K79" s="2"/>
      <c r="L79" s="195"/>
      <c r="M79" s="2"/>
    </row>
    <row r="80" spans="1:13" x14ac:dyDescent="0.3">
      <c r="A80" s="116" t="s">
        <v>463</v>
      </c>
      <c r="B80" s="313" t="str">
        <f>IFERROR(J80/(J$16+J$25+J$34),"-")</f>
        <v>-</v>
      </c>
      <c r="C80" s="351">
        <v>0</v>
      </c>
      <c r="D80" s="352">
        <v>0</v>
      </c>
      <c r="E80" s="352">
        <v>0</v>
      </c>
      <c r="F80" s="352">
        <v>0</v>
      </c>
      <c r="G80" s="352">
        <v>0</v>
      </c>
      <c r="H80" s="353">
        <v>0</v>
      </c>
      <c r="I80" s="62">
        <f t="shared" ref="I80" si="67">IFERROR(AVERAGE(C80:H80),0)</f>
        <v>0</v>
      </c>
      <c r="J80" s="62">
        <f t="shared" ref="J80" si="68">SUM(C80:H80)</f>
        <v>0</v>
      </c>
      <c r="K80" s="2"/>
      <c r="L80" s="195"/>
      <c r="M80" s="2"/>
    </row>
    <row r="81" spans="1:13" x14ac:dyDescent="0.3">
      <c r="A81" s="116" t="s">
        <v>360</v>
      </c>
      <c r="B81" s="313">
        <f>IFERROR(J81/(J$17+J$26+J$35),"-")</f>
        <v>0</v>
      </c>
      <c r="C81" s="351">
        <v>0</v>
      </c>
      <c r="D81" s="352">
        <v>0</v>
      </c>
      <c r="E81" s="352">
        <v>0</v>
      </c>
      <c r="F81" s="352">
        <v>0</v>
      </c>
      <c r="G81" s="352">
        <v>0</v>
      </c>
      <c r="H81" s="353">
        <v>0</v>
      </c>
      <c r="I81" s="62">
        <f t="shared" si="39"/>
        <v>0</v>
      </c>
      <c r="J81" s="62">
        <f t="shared" si="66"/>
        <v>0</v>
      </c>
      <c r="K81" s="2"/>
      <c r="L81" s="195"/>
      <c r="M81" s="2"/>
    </row>
    <row r="82" spans="1:13" x14ac:dyDescent="0.3">
      <c r="A82" s="115" t="s">
        <v>186</v>
      </c>
      <c r="B82" s="53"/>
      <c r="C82" s="223">
        <f>C83+C88+C89+C90</f>
        <v>1482761.775411115</v>
      </c>
      <c r="D82" s="221">
        <f t="shared" ref="D82" si="69">D83+D88+D89+D90</f>
        <v>1595858.5686797597</v>
      </c>
      <c r="E82" s="221">
        <f t="shared" ref="E82" si="70">E83+E88+E89+E90</f>
        <v>1544700.8661448264</v>
      </c>
      <c r="F82" s="221">
        <f t="shared" ref="F82" si="71">F83+F88+F89+F90</f>
        <v>1800048.2110411231</v>
      </c>
      <c r="G82" s="221">
        <f t="shared" ref="G82" si="72">G83+G88+G89+G90</f>
        <v>1642566.2731599603</v>
      </c>
      <c r="H82" s="222">
        <f t="shared" ref="H82" si="73">H83+H88+H89+H90</f>
        <v>2124149.2316199667</v>
      </c>
      <c r="I82" s="301">
        <f t="shared" si="39"/>
        <v>1698347.4876761253</v>
      </c>
      <c r="J82" s="301">
        <f>SUM(C82:H82)</f>
        <v>10190084.926056752</v>
      </c>
      <c r="K82" s="2"/>
      <c r="L82" s="494" t="s">
        <v>310</v>
      </c>
      <c r="M82" s="2"/>
    </row>
    <row r="83" spans="1:13" x14ac:dyDescent="0.3">
      <c r="A83" s="116" t="s">
        <v>356</v>
      </c>
      <c r="B83" s="313">
        <f>IFERROR(J83/(J$10+J$19+J$28),"-")</f>
        <v>0.19574235564095271</v>
      </c>
      <c r="C83" s="294">
        <f>SUM(C84:C87)</f>
        <v>1475257.2245676741</v>
      </c>
      <c r="D83" s="297">
        <f t="shared" ref="D83:H83" si="74">SUM(D84:D87)</f>
        <v>1589121.26086853</v>
      </c>
      <c r="E83" s="297">
        <f t="shared" si="74"/>
        <v>1537349.8669539806</v>
      </c>
      <c r="F83" s="297">
        <f t="shared" si="74"/>
        <v>1793242.7666625327</v>
      </c>
      <c r="G83" s="297">
        <f t="shared" si="74"/>
        <v>1635042.6145369015</v>
      </c>
      <c r="H83" s="296">
        <f t="shared" si="74"/>
        <v>2116007.5168959107</v>
      </c>
      <c r="I83" s="62">
        <f t="shared" si="39"/>
        <v>1691003.5417475884</v>
      </c>
      <c r="J83" s="62">
        <f>SUM(C83:H83)</f>
        <v>10146021.25048553</v>
      </c>
      <c r="K83" s="2"/>
      <c r="L83" s="187"/>
      <c r="M83" s="2"/>
    </row>
    <row r="84" spans="1:13" x14ac:dyDescent="0.3">
      <c r="A84" s="36" t="s">
        <v>357</v>
      </c>
      <c r="B84" s="37">
        <f>IFERROR(J84/(J$11+J$20+J$29),"-")</f>
        <v>0.20473945649119776</v>
      </c>
      <c r="C84" s="324">
        <v>1095292.1142983634</v>
      </c>
      <c r="D84" s="325">
        <v>1208904.8078201828</v>
      </c>
      <c r="E84" s="325">
        <v>941904.38509658538</v>
      </c>
      <c r="F84" s="325">
        <v>1197175.9349809373</v>
      </c>
      <c r="G84" s="325">
        <v>1078688.7415997637</v>
      </c>
      <c r="H84" s="326">
        <v>1546810.9586423466</v>
      </c>
      <c r="I84" s="10">
        <f t="shared" si="39"/>
        <v>1178129.4904063633</v>
      </c>
      <c r="J84" s="39">
        <f t="shared" ref="J84:J90" si="75">SUM(C84:H84)</f>
        <v>7068776.9424381796</v>
      </c>
      <c r="K84" s="2"/>
      <c r="L84" s="186"/>
      <c r="M84" s="2"/>
    </row>
    <row r="85" spans="1:13" ht="13.15" customHeight="1" x14ac:dyDescent="0.3">
      <c r="A85" s="36" t="s">
        <v>358</v>
      </c>
      <c r="B85" s="37">
        <f>IFERROR(J85/(J$12+J$21+J$30),"-")</f>
        <v>0.17158226330955442</v>
      </c>
      <c r="C85" s="324">
        <v>324612.81556515896</v>
      </c>
      <c r="D85" s="324">
        <v>358564.48522523697</v>
      </c>
      <c r="E85" s="324">
        <v>450383.41470543353</v>
      </c>
      <c r="F85" s="324">
        <v>572601.23098751809</v>
      </c>
      <c r="G85" s="324">
        <v>452276.19893579278</v>
      </c>
      <c r="H85" s="326">
        <v>556573.09906167712</v>
      </c>
      <c r="I85" s="39">
        <f t="shared" si="39"/>
        <v>452501.87408013624</v>
      </c>
      <c r="J85" s="39">
        <f t="shared" si="75"/>
        <v>2715011.2444808176</v>
      </c>
      <c r="K85" s="2"/>
      <c r="L85" s="187"/>
      <c r="M85" s="2"/>
    </row>
    <row r="86" spans="1:13" x14ac:dyDescent="0.3">
      <c r="A86" s="36" t="s">
        <v>359</v>
      </c>
      <c r="B86" s="37">
        <f>IFERROR(J86/(J$13+J$22+J$31),"-")</f>
        <v>0.2440180360256784</v>
      </c>
      <c r="C86" s="324">
        <v>55352.294704151893</v>
      </c>
      <c r="D86" s="324">
        <v>21651.96782311027</v>
      </c>
      <c r="E86" s="324">
        <v>145062.06715196188</v>
      </c>
      <c r="F86" s="324">
        <v>23465.600694077213</v>
      </c>
      <c r="G86" s="324">
        <v>104077.67400134489</v>
      </c>
      <c r="H86" s="326">
        <v>12623.459191887097</v>
      </c>
      <c r="I86" s="39">
        <f t="shared" si="39"/>
        <v>60372.17726108888</v>
      </c>
      <c r="J86" s="39">
        <f t="shared" si="75"/>
        <v>362233.06356653327</v>
      </c>
      <c r="K86" s="2"/>
      <c r="L86" s="187"/>
      <c r="M86" s="2"/>
    </row>
    <row r="87" spans="1:13" x14ac:dyDescent="0.3">
      <c r="A87" s="36" t="s">
        <v>461</v>
      </c>
      <c r="B87" s="37" t="str">
        <f>IFERROR(J87/(J$14+J$23+J$32),"-")</f>
        <v>-</v>
      </c>
      <c r="C87" s="324">
        <v>0</v>
      </c>
      <c r="D87" s="324">
        <v>0</v>
      </c>
      <c r="E87" s="324">
        <v>0</v>
      </c>
      <c r="F87" s="324">
        <v>0</v>
      </c>
      <c r="G87" s="324">
        <v>0</v>
      </c>
      <c r="H87" s="326">
        <v>0</v>
      </c>
      <c r="I87" s="39">
        <f t="shared" si="39"/>
        <v>0</v>
      </c>
      <c r="J87" s="39">
        <f t="shared" si="75"/>
        <v>0</v>
      </c>
      <c r="K87" s="2"/>
      <c r="L87" s="187"/>
      <c r="M87" s="2"/>
    </row>
    <row r="88" spans="1:13" x14ac:dyDescent="0.3">
      <c r="A88" s="116" t="s">
        <v>332</v>
      </c>
      <c r="B88" s="313" t="str">
        <f>IFERROR(J88/(J$15+J$24+J$33),"-")</f>
        <v>-</v>
      </c>
      <c r="C88" s="351">
        <v>0</v>
      </c>
      <c r="D88" s="352">
        <v>0</v>
      </c>
      <c r="E88" s="352">
        <v>0</v>
      </c>
      <c r="F88" s="352">
        <v>0</v>
      </c>
      <c r="G88" s="352">
        <v>0</v>
      </c>
      <c r="H88" s="353">
        <v>0</v>
      </c>
      <c r="I88" s="62">
        <f t="shared" si="39"/>
        <v>0</v>
      </c>
      <c r="J88" s="62">
        <f t="shared" si="75"/>
        <v>0</v>
      </c>
      <c r="K88" s="2"/>
      <c r="L88" s="195"/>
      <c r="M88" s="2"/>
    </row>
    <row r="89" spans="1:13" x14ac:dyDescent="0.3">
      <c r="A89" s="116" t="s">
        <v>463</v>
      </c>
      <c r="B89" s="313" t="str">
        <f>IFERROR(J89/(J$16+J$25+J$34),"-")</f>
        <v>-</v>
      </c>
      <c r="C89" s="351">
        <v>0</v>
      </c>
      <c r="D89" s="352">
        <v>0</v>
      </c>
      <c r="E89" s="352">
        <v>0</v>
      </c>
      <c r="F89" s="352">
        <v>0</v>
      </c>
      <c r="G89" s="352">
        <v>0</v>
      </c>
      <c r="H89" s="353">
        <v>0</v>
      </c>
      <c r="I89" s="62">
        <f t="shared" ref="I89" si="76">IFERROR(AVERAGE(C89:H89),0)</f>
        <v>0</v>
      </c>
      <c r="J89" s="62">
        <f t="shared" ref="J89" si="77">SUM(C89:H89)</f>
        <v>0</v>
      </c>
      <c r="K89" s="2"/>
      <c r="L89" s="195"/>
      <c r="M89" s="2"/>
    </row>
    <row r="90" spans="1:13" x14ac:dyDescent="0.3">
      <c r="A90" s="116" t="s">
        <v>360</v>
      </c>
      <c r="B90" s="313">
        <f>IFERROR(J90/(J$17+J$26+J$35),"-")</f>
        <v>2.2020698747273783E-2</v>
      </c>
      <c r="C90" s="351">
        <v>7504.5508434410203</v>
      </c>
      <c r="D90" s="352">
        <v>6737.307811229809</v>
      </c>
      <c r="E90" s="352">
        <v>7350.9991908457687</v>
      </c>
      <c r="F90" s="352">
        <v>6805.4443785905141</v>
      </c>
      <c r="G90" s="352">
        <v>7523.65862305882</v>
      </c>
      <c r="H90" s="353">
        <v>8141.7147240558779</v>
      </c>
      <c r="I90" s="62">
        <f t="shared" ref="I90" si="78">IFERROR(AVERAGE(C90:H90),0)</f>
        <v>7343.9459285369676</v>
      </c>
      <c r="J90" s="62">
        <f t="shared" si="75"/>
        <v>44063.675571221807</v>
      </c>
      <c r="K90" s="2"/>
      <c r="L90" s="195"/>
      <c r="M90" s="2"/>
    </row>
    <row r="91" spans="1:13" x14ac:dyDescent="0.3">
      <c r="A91" s="115" t="s">
        <v>187</v>
      </c>
      <c r="B91" s="53"/>
      <c r="C91" s="223">
        <f>C92+C97+C98+C99</f>
        <v>2111813.0716044833</v>
      </c>
      <c r="D91" s="221">
        <f t="shared" ref="D91" si="79">D92+D97+D98+D99</f>
        <v>2124877.4882171918</v>
      </c>
      <c r="E91" s="221">
        <f t="shared" ref="E91" si="80">E92+E97+E98+E99</f>
        <v>2160775.5878491313</v>
      </c>
      <c r="F91" s="221">
        <f t="shared" ref="F91" si="81">F92+F97+F98+F99</f>
        <v>2153298.0687927036</v>
      </c>
      <c r="G91" s="221">
        <f t="shared" ref="G91" si="82">G92+G97+G98+G99</f>
        <v>2127566.1027210159</v>
      </c>
      <c r="H91" s="222">
        <f t="shared" ref="H91" si="83">H92+H97+H98+H99</f>
        <v>2128240.4834963842</v>
      </c>
      <c r="I91" s="301">
        <f t="shared" si="39"/>
        <v>2134428.4671134851</v>
      </c>
      <c r="J91" s="301">
        <f>SUM(C91:H91)</f>
        <v>12806570.802680911</v>
      </c>
      <c r="K91" s="2"/>
      <c r="L91" s="494" t="s">
        <v>446</v>
      </c>
      <c r="M91" s="2"/>
    </row>
    <row r="92" spans="1:13" x14ac:dyDescent="0.3">
      <c r="A92" s="116" t="s">
        <v>356</v>
      </c>
      <c r="B92" s="313">
        <f>IFERROR(J92/(J$10+J$19+J$28),"-")</f>
        <v>0.24690835622840235</v>
      </c>
      <c r="C92" s="294">
        <f>SUM(C93:C96)</f>
        <v>2109954.0921309451</v>
      </c>
      <c r="D92" s="297">
        <f t="shared" ref="D92:H92" si="84">SUM(D93:D96)</f>
        <v>2124220.8963440978</v>
      </c>
      <c r="E92" s="297">
        <f t="shared" si="84"/>
        <v>2159181.126642202</v>
      </c>
      <c r="F92" s="297">
        <f t="shared" si="84"/>
        <v>2152626.6874389672</v>
      </c>
      <c r="G92" s="297">
        <f t="shared" si="84"/>
        <v>2125860.4501237231</v>
      </c>
      <c r="H92" s="296">
        <f t="shared" si="84"/>
        <v>2126293.4664415899</v>
      </c>
      <c r="I92" s="62">
        <f t="shared" si="39"/>
        <v>2133022.7865202543</v>
      </c>
      <c r="J92" s="62">
        <f>SUM(C92:H92)</f>
        <v>12798136.719121527</v>
      </c>
      <c r="K92" s="2"/>
      <c r="L92" s="187"/>
      <c r="M92" s="2"/>
    </row>
    <row r="93" spans="1:13" x14ac:dyDescent="0.3">
      <c r="A93" s="36" t="s">
        <v>357</v>
      </c>
      <c r="B93" s="37">
        <f>IFERROR(J93/(J$11+J$20+J$29),"-")</f>
        <v>0.25869529114014161</v>
      </c>
      <c r="C93" s="324">
        <v>1578015.6654502545</v>
      </c>
      <c r="D93" s="325">
        <v>1628347.6093528459</v>
      </c>
      <c r="E93" s="325">
        <v>1320319.9636080412</v>
      </c>
      <c r="F93" s="325">
        <v>1439651.4247184577</v>
      </c>
      <c r="G93" s="325">
        <v>1404397.4480729927</v>
      </c>
      <c r="H93" s="326">
        <v>1560908.8165800963</v>
      </c>
      <c r="I93" s="10">
        <f t="shared" si="39"/>
        <v>1488606.8212971147</v>
      </c>
      <c r="J93" s="39">
        <f t="shared" ref="J93:J99" si="85">SUM(C93:H93)</f>
        <v>8931640.9277826883</v>
      </c>
      <c r="K93" s="2"/>
      <c r="L93" s="186"/>
      <c r="M93" s="2"/>
    </row>
    <row r="94" spans="1:13" ht="13.15" customHeight="1" x14ac:dyDescent="0.3">
      <c r="A94" s="36" t="s">
        <v>358</v>
      </c>
      <c r="B94" s="37">
        <f>IFERROR(J94/(J$12+J$21+J$30),"-")</f>
        <v>0.21335112009873672</v>
      </c>
      <c r="C94" s="324">
        <v>452592.59683799889</v>
      </c>
      <c r="D94" s="324">
        <v>469181.41753775906</v>
      </c>
      <c r="E94" s="324">
        <v>629057.815215735</v>
      </c>
      <c r="F94" s="324">
        <v>686812.38704104209</v>
      </c>
      <c r="G94" s="324">
        <v>583453.39251796901</v>
      </c>
      <c r="H94" s="326">
        <v>554838.10190613172</v>
      </c>
      <c r="I94" s="39">
        <f t="shared" si="39"/>
        <v>562655.95184277266</v>
      </c>
      <c r="J94" s="39">
        <f t="shared" si="85"/>
        <v>3375935.7110566357</v>
      </c>
      <c r="K94" s="2"/>
      <c r="L94" s="187"/>
      <c r="M94" s="2"/>
    </row>
    <row r="95" spans="1:13" x14ac:dyDescent="0.3">
      <c r="A95" s="36" t="s">
        <v>359</v>
      </c>
      <c r="B95" s="37">
        <f>IFERROR(J95/(J$13+J$22+J$31),"-")</f>
        <v>0.33046543615992963</v>
      </c>
      <c r="C95" s="324">
        <v>79345.82984269195</v>
      </c>
      <c r="D95" s="324">
        <v>26691.869453493229</v>
      </c>
      <c r="E95" s="324">
        <v>209803.34781842574</v>
      </c>
      <c r="F95" s="324">
        <v>26162.875679467194</v>
      </c>
      <c r="G95" s="324">
        <v>138009.60953276156</v>
      </c>
      <c r="H95" s="326">
        <v>10546.547955361773</v>
      </c>
      <c r="I95" s="39">
        <f t="shared" si="39"/>
        <v>81760.013380366916</v>
      </c>
      <c r="J95" s="39">
        <f t="shared" si="85"/>
        <v>490560.08028220147</v>
      </c>
      <c r="K95" s="2"/>
      <c r="L95" s="187"/>
      <c r="M95" s="2"/>
    </row>
    <row r="96" spans="1:13" x14ac:dyDescent="0.3">
      <c r="A96" s="36" t="s">
        <v>461</v>
      </c>
      <c r="B96" s="37" t="str">
        <f>IFERROR(J96/(J$14+J$23+J$32),"-")</f>
        <v>-</v>
      </c>
      <c r="C96" s="324">
        <v>0</v>
      </c>
      <c r="D96" s="324">
        <v>0</v>
      </c>
      <c r="E96" s="324">
        <v>0</v>
      </c>
      <c r="F96" s="324">
        <v>0</v>
      </c>
      <c r="G96" s="324">
        <v>0</v>
      </c>
      <c r="H96" s="326">
        <v>0</v>
      </c>
      <c r="I96" s="39">
        <f t="shared" si="39"/>
        <v>0</v>
      </c>
      <c r="J96" s="39">
        <f t="shared" si="85"/>
        <v>0</v>
      </c>
      <c r="K96" s="2"/>
      <c r="L96" s="187"/>
      <c r="M96" s="2"/>
    </row>
    <row r="97" spans="1:13" x14ac:dyDescent="0.3">
      <c r="A97" s="116" t="s">
        <v>332</v>
      </c>
      <c r="B97" s="313" t="str">
        <f>IFERROR(J97/(J$15+J$24+J$33),"-")</f>
        <v>-</v>
      </c>
      <c r="C97" s="351">
        <v>0</v>
      </c>
      <c r="D97" s="352">
        <v>0</v>
      </c>
      <c r="E97" s="352">
        <v>0</v>
      </c>
      <c r="F97" s="352">
        <v>0</v>
      </c>
      <c r="G97" s="352">
        <v>0</v>
      </c>
      <c r="H97" s="353">
        <v>0</v>
      </c>
      <c r="I97" s="62">
        <f t="shared" si="39"/>
        <v>0</v>
      </c>
      <c r="J97" s="62">
        <f t="shared" si="85"/>
        <v>0</v>
      </c>
      <c r="K97" s="2"/>
      <c r="L97" s="195"/>
      <c r="M97" s="2"/>
    </row>
    <row r="98" spans="1:13" x14ac:dyDescent="0.3">
      <c r="A98" s="116" t="s">
        <v>463</v>
      </c>
      <c r="B98" s="313" t="str">
        <f>IFERROR(J98/(J$16+J$25+J$34),"-")</f>
        <v>-</v>
      </c>
      <c r="C98" s="351">
        <v>0</v>
      </c>
      <c r="D98" s="352">
        <v>0</v>
      </c>
      <c r="E98" s="352">
        <v>0</v>
      </c>
      <c r="F98" s="352">
        <v>0</v>
      </c>
      <c r="G98" s="352">
        <v>0</v>
      </c>
      <c r="H98" s="353">
        <v>0</v>
      </c>
      <c r="I98" s="62">
        <f t="shared" ref="I98" si="86">IFERROR(AVERAGE(C98:H98),0)</f>
        <v>0</v>
      </c>
      <c r="J98" s="62">
        <f t="shared" ref="J98" si="87">SUM(C98:H98)</f>
        <v>0</v>
      </c>
      <c r="K98" s="2"/>
      <c r="L98" s="195"/>
      <c r="M98" s="2"/>
    </row>
    <row r="99" spans="1:13" x14ac:dyDescent="0.3">
      <c r="A99" s="116" t="s">
        <v>360</v>
      </c>
      <c r="B99" s="313">
        <f>IFERROR(J99/(J$17+J$26+J$35),"-")</f>
        <v>4.2149096929135288E-3</v>
      </c>
      <c r="C99" s="351">
        <v>1858.9794735381786</v>
      </c>
      <c r="D99" s="352">
        <v>656.59187309384595</v>
      </c>
      <c r="E99" s="352">
        <v>1594.4612069291661</v>
      </c>
      <c r="F99" s="352">
        <v>671.38135373619593</v>
      </c>
      <c r="G99" s="352">
        <v>1705.652597292941</v>
      </c>
      <c r="H99" s="353">
        <v>1947.0170547941373</v>
      </c>
      <c r="I99" s="62">
        <f t="shared" si="39"/>
        <v>1405.6805932307441</v>
      </c>
      <c r="J99" s="62">
        <f t="shared" si="85"/>
        <v>8434.083559384464</v>
      </c>
      <c r="K99" s="2"/>
      <c r="L99" s="195"/>
      <c r="M99" s="2"/>
    </row>
    <row r="100" spans="1:13" x14ac:dyDescent="0.3">
      <c r="A100" s="115" t="s">
        <v>445</v>
      </c>
      <c r="B100" s="53"/>
      <c r="C100" s="223">
        <f>C101+C106+C107+C108</f>
        <v>310927.73265446891</v>
      </c>
      <c r="D100" s="221">
        <f t="shared" ref="D100:H100" si="88">D101+D106+D107+D108</f>
        <v>333628.93724374875</v>
      </c>
      <c r="E100" s="221">
        <f t="shared" si="88"/>
        <v>325552.66961066518</v>
      </c>
      <c r="F100" s="221">
        <f t="shared" si="88"/>
        <v>385457.04795810638</v>
      </c>
      <c r="G100" s="221">
        <f t="shared" si="88"/>
        <v>351609.05424299935</v>
      </c>
      <c r="H100" s="222">
        <f t="shared" si="88"/>
        <v>477291.17546812224</v>
      </c>
      <c r="I100" s="301">
        <f t="shared" ref="I100:I108" si="89">IFERROR(AVERAGE(C100:H100),0)</f>
        <v>364077.76952968515</v>
      </c>
      <c r="J100" s="301">
        <f>SUM(C100:H100)</f>
        <v>2184466.6171781109</v>
      </c>
      <c r="K100" s="2"/>
      <c r="L100" s="494" t="s">
        <v>446</v>
      </c>
      <c r="M100" s="2"/>
    </row>
    <row r="101" spans="1:13" x14ac:dyDescent="0.3">
      <c r="A101" s="116" t="s">
        <v>356</v>
      </c>
      <c r="B101" s="313">
        <f>IFERROR(J101/(J$10+J$19+J$28),"-")</f>
        <v>4.1159121749132915E-2</v>
      </c>
      <c r="C101" s="294">
        <f>SUM(C102:C105)</f>
        <v>301368.9498461851</v>
      </c>
      <c r="D101" s="297">
        <f t="shared" ref="D101:H101" si="90">SUM(D102:D105)</f>
        <v>329957.33092272974</v>
      </c>
      <c r="E101" s="297">
        <f t="shared" si="90"/>
        <v>317122.15724266018</v>
      </c>
      <c r="F101" s="297">
        <f t="shared" si="90"/>
        <v>381177.18410922756</v>
      </c>
      <c r="G101" s="297">
        <f t="shared" si="90"/>
        <v>341738.26368726417</v>
      </c>
      <c r="H101" s="296">
        <f t="shared" si="90"/>
        <v>462059.52452435845</v>
      </c>
      <c r="I101" s="62">
        <f t="shared" si="89"/>
        <v>355570.56838873751</v>
      </c>
      <c r="J101" s="62">
        <f>SUM(C101:H101)</f>
        <v>2133423.410332425</v>
      </c>
      <c r="K101" s="2"/>
      <c r="L101" s="187"/>
      <c r="M101" s="2"/>
    </row>
    <row r="102" spans="1:13" x14ac:dyDescent="0.3">
      <c r="A102" s="36" t="s">
        <v>357</v>
      </c>
      <c r="B102" s="37">
        <f>IFERROR(J102/(J$11+J$20+J$29),"-")</f>
        <v>4.3217820705966789E-2</v>
      </c>
      <c r="C102" s="324">
        <v>225391.12377429786</v>
      </c>
      <c r="D102" s="325">
        <v>252932.84324675016</v>
      </c>
      <c r="E102" s="325">
        <v>193917.36521940984</v>
      </c>
      <c r="F102" s="325">
        <v>254926.82004509357</v>
      </c>
      <c r="G102" s="325">
        <v>225760.98323074658</v>
      </c>
      <c r="H102" s="326">
        <v>339197.19784582756</v>
      </c>
      <c r="I102" s="10">
        <f t="shared" si="89"/>
        <v>248687.72222702092</v>
      </c>
      <c r="J102" s="39">
        <f t="shared" ref="J102:J106" si="91">SUM(C102:H102)</f>
        <v>1492126.3333621256</v>
      </c>
      <c r="K102" s="2"/>
      <c r="L102" s="186"/>
      <c r="M102" s="2"/>
    </row>
    <row r="103" spans="1:13" ht="13.15" customHeight="1" x14ac:dyDescent="0.3">
      <c r="A103" s="36" t="s">
        <v>358</v>
      </c>
      <c r="B103" s="37">
        <f>IFERROR(J103/(J$12+J$21+J$30),"-")</f>
        <v>3.5763135247035914E-2</v>
      </c>
      <c r="C103" s="324">
        <v>64644.702994211235</v>
      </c>
      <c r="D103" s="324">
        <v>72878.413217635753</v>
      </c>
      <c r="E103" s="324">
        <v>92390.660945521377</v>
      </c>
      <c r="F103" s="324">
        <v>121617.56296680866</v>
      </c>
      <c r="G103" s="324">
        <v>93791.833462036651</v>
      </c>
      <c r="H103" s="326">
        <v>120570.48267367532</v>
      </c>
      <c r="I103" s="39">
        <f t="shared" si="89"/>
        <v>94315.609376648164</v>
      </c>
      <c r="J103" s="39">
        <f t="shared" si="91"/>
        <v>565893.65625988902</v>
      </c>
      <c r="K103" s="2"/>
      <c r="L103" s="187"/>
      <c r="M103" s="2"/>
    </row>
    <row r="104" spans="1:13" x14ac:dyDescent="0.3">
      <c r="A104" s="36" t="s">
        <v>359</v>
      </c>
      <c r="B104" s="37">
        <f>IFERROR(J104/(J$13+J$22+J$31),"-")</f>
        <v>5.0795458730930575E-2</v>
      </c>
      <c r="C104" s="324">
        <v>11333.123077676017</v>
      </c>
      <c r="D104" s="324">
        <v>4146.0744583438609</v>
      </c>
      <c r="E104" s="324">
        <v>30814.131077728958</v>
      </c>
      <c r="F104" s="324">
        <v>4632.8010973253622</v>
      </c>
      <c r="G104" s="324">
        <v>22185.446994480935</v>
      </c>
      <c r="H104" s="326">
        <v>2291.8440048556085</v>
      </c>
      <c r="I104" s="39">
        <f t="shared" si="89"/>
        <v>12567.236785068455</v>
      </c>
      <c r="J104" s="39">
        <f t="shared" si="91"/>
        <v>75403.420710410734</v>
      </c>
      <c r="K104" s="2"/>
      <c r="L104" s="187"/>
      <c r="M104" s="2"/>
    </row>
    <row r="105" spans="1:13" x14ac:dyDescent="0.3">
      <c r="A105" s="36" t="s">
        <v>461</v>
      </c>
      <c r="B105" s="37" t="str">
        <f>IFERROR(J105/(J$14+J$23+J$32),"-")</f>
        <v>-</v>
      </c>
      <c r="C105" s="324">
        <v>0</v>
      </c>
      <c r="D105" s="324">
        <v>0</v>
      </c>
      <c r="E105" s="324">
        <v>0</v>
      </c>
      <c r="F105" s="324">
        <v>0</v>
      </c>
      <c r="G105" s="324">
        <v>0</v>
      </c>
      <c r="H105" s="326">
        <v>0</v>
      </c>
      <c r="I105" s="39">
        <f t="shared" si="89"/>
        <v>0</v>
      </c>
      <c r="J105" s="39">
        <f t="shared" si="91"/>
        <v>0</v>
      </c>
      <c r="K105" s="2"/>
      <c r="L105" s="187"/>
      <c r="M105" s="2"/>
    </row>
    <row r="106" spans="1:13" x14ac:dyDescent="0.3">
      <c r="A106" s="116" t="s">
        <v>332</v>
      </c>
      <c r="B106" s="313" t="str">
        <f>IFERROR(J106/(J$15+J$24+J$33),"-")</f>
        <v>-</v>
      </c>
      <c r="C106" s="351">
        <v>0</v>
      </c>
      <c r="D106" s="352">
        <v>0</v>
      </c>
      <c r="E106" s="352">
        <v>0</v>
      </c>
      <c r="F106" s="352">
        <v>0</v>
      </c>
      <c r="G106" s="352">
        <v>0</v>
      </c>
      <c r="H106" s="353">
        <v>0</v>
      </c>
      <c r="I106" s="62">
        <f t="shared" si="89"/>
        <v>0</v>
      </c>
      <c r="J106" s="62">
        <f t="shared" si="91"/>
        <v>0</v>
      </c>
      <c r="K106" s="2"/>
      <c r="L106" s="195"/>
      <c r="M106" s="2"/>
    </row>
    <row r="107" spans="1:13" x14ac:dyDescent="0.3">
      <c r="A107" s="116" t="s">
        <v>463</v>
      </c>
      <c r="B107" s="313" t="str">
        <f>IFERROR(J107/(J$16+J$25+J$34),"-")</f>
        <v>-</v>
      </c>
      <c r="C107" s="351">
        <v>0</v>
      </c>
      <c r="D107" s="352">
        <v>0</v>
      </c>
      <c r="E107" s="352">
        <v>0</v>
      </c>
      <c r="F107" s="352">
        <v>0</v>
      </c>
      <c r="G107" s="352">
        <v>0</v>
      </c>
      <c r="H107" s="353">
        <v>0</v>
      </c>
      <c r="I107" s="62">
        <f t="shared" si="89"/>
        <v>0</v>
      </c>
      <c r="J107" s="62">
        <f t="shared" ref="J107" si="92">SUM(C107:H107)</f>
        <v>0</v>
      </c>
      <c r="K107" s="2"/>
      <c r="L107" s="195"/>
      <c r="M107" s="2"/>
    </row>
    <row r="108" spans="1:13" x14ac:dyDescent="0.3">
      <c r="A108" s="116" t="s">
        <v>360</v>
      </c>
      <c r="B108" s="313">
        <f>IFERROR(J108/(J$17+J$26+J$35),"-")</f>
        <v>2.5508700000000002E-2</v>
      </c>
      <c r="C108" s="351">
        <v>9558.7828082838023</v>
      </c>
      <c r="D108" s="352">
        <v>3671.6063210190014</v>
      </c>
      <c r="E108" s="352">
        <v>8430.5123680050019</v>
      </c>
      <c r="F108" s="352">
        <v>4279.863848878801</v>
      </c>
      <c r="G108" s="352">
        <v>9870.7905557352042</v>
      </c>
      <c r="H108" s="353">
        <v>15231.650943763801</v>
      </c>
      <c r="I108" s="62">
        <f t="shared" si="89"/>
        <v>8507.2011409476017</v>
      </c>
      <c r="J108" s="62">
        <f t="shared" ref="J108" si="93">SUM(C108:H108)</f>
        <v>51043.206845685614</v>
      </c>
      <c r="K108" s="2"/>
      <c r="L108" s="195"/>
      <c r="M108" s="2"/>
    </row>
    <row r="109" spans="1:13" x14ac:dyDescent="0.3">
      <c r="A109" s="18" t="s">
        <v>8</v>
      </c>
      <c r="B109" s="164">
        <f>IFERROR(J109/J$36,"-")</f>
        <v>0.87013918380708244</v>
      </c>
      <c r="C109" s="60">
        <f>C55+C64+C73+C82+C91+C100</f>
        <v>7743967.4419241603</v>
      </c>
      <c r="D109" s="19">
        <f t="shared" ref="D109:H109" si="94">D55+D64+D73+D82+D91+D100</f>
        <v>7762826.3771283813</v>
      </c>
      <c r="E109" s="19">
        <f t="shared" si="94"/>
        <v>7664892.7326088538</v>
      </c>
      <c r="F109" s="19">
        <f t="shared" si="94"/>
        <v>7882494.6458492018</v>
      </c>
      <c r="G109" s="19">
        <f t="shared" si="94"/>
        <v>7620924.6077076234</v>
      </c>
      <c r="H109" s="35">
        <f t="shared" si="94"/>
        <v>8168456.083775945</v>
      </c>
      <c r="I109" s="35">
        <f>IFERROR(AVERAGE(C109:H109),0)</f>
        <v>7807260.3148323605</v>
      </c>
      <c r="J109" s="35">
        <f>SUM(C109:H109)</f>
        <v>46843561.888994165</v>
      </c>
      <c r="K109" s="2"/>
      <c r="L109" s="195"/>
      <c r="M109" s="31"/>
    </row>
    <row r="110" spans="1: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7.65" customHeight="1" x14ac:dyDescent="0.3">
      <c r="A112" s="678" t="s">
        <v>350</v>
      </c>
      <c r="B112" s="678" t="s">
        <v>351</v>
      </c>
      <c r="C112" s="3">
        <f>Annee</f>
        <v>2024</v>
      </c>
      <c r="D112" s="291">
        <f>C112+1</f>
        <v>2025</v>
      </c>
      <c r="E112" s="291">
        <f t="shared" ref="E112:G112" si="95">D112+1</f>
        <v>2026</v>
      </c>
      <c r="F112" s="291">
        <f t="shared" si="95"/>
        <v>2027</v>
      </c>
      <c r="G112" s="291">
        <f t="shared" si="95"/>
        <v>2028</v>
      </c>
      <c r="H112" s="295">
        <f>G112+1</f>
        <v>2029</v>
      </c>
      <c r="I112" s="179" t="s">
        <v>271</v>
      </c>
      <c r="J112" s="4" t="s">
        <v>62</v>
      </c>
      <c r="K112" s="2"/>
      <c r="L112" s="683" t="s">
        <v>305</v>
      </c>
      <c r="M112" s="2"/>
    </row>
    <row r="113" spans="1:13" ht="14.5" customHeight="1" x14ac:dyDescent="0.3">
      <c r="A113" s="679"/>
      <c r="B113" s="679"/>
      <c r="C113" s="77">
        <v>12</v>
      </c>
      <c r="D113" s="77">
        <v>12</v>
      </c>
      <c r="E113" s="77">
        <v>12</v>
      </c>
      <c r="F113" s="77">
        <v>12</v>
      </c>
      <c r="G113" s="77">
        <v>12</v>
      </c>
      <c r="H113" s="77">
        <v>12</v>
      </c>
      <c r="I113" s="78">
        <f t="shared" ref="I113:I148" si="96">IFERROR(AVERAGE(C113:H113),0)</f>
        <v>12</v>
      </c>
      <c r="J113" s="78">
        <f t="shared" ref="J113" si="97">SUM(C113:H113)</f>
        <v>72</v>
      </c>
      <c r="K113" s="2"/>
      <c r="L113" s="699"/>
      <c r="M113" s="2"/>
    </row>
    <row r="114" spans="1:13" x14ac:dyDescent="0.3">
      <c r="A114" s="115" t="s">
        <v>73</v>
      </c>
      <c r="B114" s="53"/>
      <c r="C114" s="223">
        <f>C115+C120+C121+C122</f>
        <v>650601.96721311484</v>
      </c>
      <c r="D114" s="221">
        <f t="shared" ref="D114" si="98">D115+D120+D121+D122</f>
        <v>650561.91780821921</v>
      </c>
      <c r="E114" s="221">
        <f t="shared" ref="E114" si="99">E115+E120+E121+E122</f>
        <v>650541.64383561665</v>
      </c>
      <c r="F114" s="221">
        <f t="shared" ref="F114" si="100">F115+F120+F121+F122</f>
        <v>650468.49315068498</v>
      </c>
      <c r="G114" s="221">
        <f t="shared" ref="G114" si="101">G115+G120+G121+G122</f>
        <v>650500.87431693997</v>
      </c>
      <c r="H114" s="222">
        <f t="shared" ref="H114" si="102">H115+H120+H121+H122</f>
        <v>652635.89041095902</v>
      </c>
      <c r="I114" s="301">
        <f t="shared" si="96"/>
        <v>650885.13112258911</v>
      </c>
      <c r="J114" s="301">
        <f>SUM(C114:H114)</f>
        <v>3905310.7867355347</v>
      </c>
      <c r="K114" s="2"/>
      <c r="L114" s="494" t="s">
        <v>310</v>
      </c>
      <c r="M114" s="2"/>
    </row>
    <row r="115" spans="1:13" x14ac:dyDescent="0.3">
      <c r="A115" s="116" t="s">
        <v>356</v>
      </c>
      <c r="B115" s="313">
        <f>IFERROR(J115/J$40,"-")</f>
        <v>3862.0390296681703</v>
      </c>
      <c r="C115" s="294">
        <f>SUM(C116:C119)</f>
        <v>642681.96721311484</v>
      </c>
      <c r="D115" s="297">
        <f t="shared" ref="D115:H115" si="103">SUM(D116:D119)</f>
        <v>642641.91780821921</v>
      </c>
      <c r="E115" s="297">
        <f t="shared" si="103"/>
        <v>642621.64383561665</v>
      </c>
      <c r="F115" s="297">
        <f t="shared" si="103"/>
        <v>642548.49315068498</v>
      </c>
      <c r="G115" s="297">
        <f t="shared" si="103"/>
        <v>642580.87431693997</v>
      </c>
      <c r="H115" s="296">
        <f t="shared" si="103"/>
        <v>644715.89041095902</v>
      </c>
      <c r="I115" s="62">
        <f t="shared" si="96"/>
        <v>642965.13112258911</v>
      </c>
      <c r="J115" s="62">
        <f>SUM(C115:H115)</f>
        <v>3857790.7867355347</v>
      </c>
      <c r="K115" s="2"/>
      <c r="L115" s="187"/>
      <c r="M115" s="2"/>
    </row>
    <row r="116" spans="1:13" x14ac:dyDescent="0.3">
      <c r="A116" s="36" t="s">
        <v>357</v>
      </c>
      <c r="B116" s="37">
        <f>IFERROR(J116/J$41,"-")</f>
        <v>4188.6257788318289</v>
      </c>
      <c r="C116" s="324">
        <v>447518.96890098392</v>
      </c>
      <c r="D116" s="325">
        <v>447496.73426692409</v>
      </c>
      <c r="E116" s="325">
        <v>447485.47856005578</v>
      </c>
      <c r="F116" s="325">
        <v>450331.06175190263</v>
      </c>
      <c r="G116" s="325">
        <v>452400.34462266864</v>
      </c>
      <c r="H116" s="326">
        <v>453582.77371438884</v>
      </c>
      <c r="I116" s="10">
        <f t="shared" si="96"/>
        <v>449802.56030282058</v>
      </c>
      <c r="J116" s="39">
        <f t="shared" ref="J116:J122" si="104">SUM(C116:H116)</f>
        <v>2698815.3618169236</v>
      </c>
      <c r="K116" s="2"/>
      <c r="L116" s="186"/>
      <c r="M116" s="2"/>
    </row>
    <row r="117" spans="1:13" ht="13.15" customHeight="1" x14ac:dyDescent="0.3">
      <c r="A117" s="36" t="s">
        <v>358</v>
      </c>
      <c r="B117" s="37">
        <f>IFERROR(J117/J$42,"-")</f>
        <v>3375.3601562977801</v>
      </c>
      <c r="C117" s="324">
        <v>183343.09114756295</v>
      </c>
      <c r="D117" s="324">
        <v>183325.27637672712</v>
      </c>
      <c r="E117" s="324">
        <v>183316.25811099284</v>
      </c>
      <c r="F117" s="324">
        <v>180391.04757275438</v>
      </c>
      <c r="G117" s="324">
        <v>178360.62252970334</v>
      </c>
      <c r="H117" s="326">
        <v>179311.05064484884</v>
      </c>
      <c r="I117" s="39">
        <f t="shared" si="96"/>
        <v>181341.22439709827</v>
      </c>
      <c r="J117" s="39">
        <f t="shared" si="104"/>
        <v>1088047.3463825895</v>
      </c>
      <c r="K117" s="2"/>
      <c r="L117" s="187"/>
      <c r="M117" s="2"/>
    </row>
    <row r="118" spans="1:13" x14ac:dyDescent="0.3">
      <c r="A118" s="36" t="s">
        <v>359</v>
      </c>
      <c r="B118" s="37">
        <f>IFERROR(J118/J$43,"-")</f>
        <v>2200.6850305932676</v>
      </c>
      <c r="C118" s="324">
        <v>11819.90716456794</v>
      </c>
      <c r="D118" s="324">
        <v>11819.90716456794</v>
      </c>
      <c r="E118" s="324">
        <v>11819.90716456794</v>
      </c>
      <c r="F118" s="324">
        <v>11826.383826027977</v>
      </c>
      <c r="G118" s="324">
        <v>11819.90716456794</v>
      </c>
      <c r="H118" s="326">
        <v>11822.066051721285</v>
      </c>
      <c r="I118" s="39">
        <f t="shared" si="96"/>
        <v>11821.346422670169</v>
      </c>
      <c r="J118" s="39">
        <f t="shared" si="104"/>
        <v>70928.078536021014</v>
      </c>
      <c r="K118" s="2"/>
      <c r="L118" s="187"/>
      <c r="M118" s="2"/>
    </row>
    <row r="119" spans="1:13" x14ac:dyDescent="0.3">
      <c r="A119" s="36" t="s">
        <v>461</v>
      </c>
      <c r="B119" s="37" t="str">
        <f>IFERROR(J119/J$44,"-")</f>
        <v>-</v>
      </c>
      <c r="C119" s="324">
        <v>0</v>
      </c>
      <c r="D119" s="324">
        <v>0</v>
      </c>
      <c r="E119" s="324">
        <v>0</v>
      </c>
      <c r="F119" s="324">
        <v>0</v>
      </c>
      <c r="G119" s="324">
        <v>0</v>
      </c>
      <c r="H119" s="326">
        <v>0</v>
      </c>
      <c r="I119" s="39">
        <f t="shared" si="96"/>
        <v>0</v>
      </c>
      <c r="J119" s="39">
        <f t="shared" si="104"/>
        <v>0</v>
      </c>
      <c r="K119" s="2"/>
      <c r="L119" s="187"/>
      <c r="M119" s="2"/>
    </row>
    <row r="120" spans="1:13" x14ac:dyDescent="0.3">
      <c r="A120" s="116" t="s">
        <v>332</v>
      </c>
      <c r="B120" s="313" t="str">
        <f>IFERROR(J120/J$45,"-")</f>
        <v>-</v>
      </c>
      <c r="C120" s="351">
        <v>0</v>
      </c>
      <c r="D120" s="352">
        <v>0</v>
      </c>
      <c r="E120" s="352">
        <v>0</v>
      </c>
      <c r="F120" s="352">
        <v>0</v>
      </c>
      <c r="G120" s="352">
        <v>0</v>
      </c>
      <c r="H120" s="353">
        <v>0</v>
      </c>
      <c r="I120" s="62">
        <f t="shared" si="96"/>
        <v>0</v>
      </c>
      <c r="J120" s="62">
        <f t="shared" si="104"/>
        <v>0</v>
      </c>
      <c r="K120" s="2"/>
      <c r="L120" s="195"/>
      <c r="M120" s="2"/>
    </row>
    <row r="121" spans="1:13" x14ac:dyDescent="0.3">
      <c r="A121" s="116" t="s">
        <v>463</v>
      </c>
      <c r="B121" s="313" t="str">
        <f>IFERROR(J121/J$46,"-")</f>
        <v>-</v>
      </c>
      <c r="C121" s="351">
        <v>0</v>
      </c>
      <c r="D121" s="352">
        <v>0</v>
      </c>
      <c r="E121" s="352">
        <v>0</v>
      </c>
      <c r="F121" s="352">
        <v>0</v>
      </c>
      <c r="G121" s="352">
        <v>0</v>
      </c>
      <c r="H121" s="353">
        <v>0</v>
      </c>
      <c r="I121" s="62">
        <f t="shared" ref="I121" si="105">IFERROR(AVERAGE(C121:H121),0)</f>
        <v>0</v>
      </c>
      <c r="J121" s="62">
        <f t="shared" ref="J121" si="106">SUM(C121:H121)</f>
        <v>0</v>
      </c>
      <c r="K121" s="2"/>
      <c r="L121" s="195"/>
      <c r="M121" s="2"/>
    </row>
    <row r="122" spans="1:13" x14ac:dyDescent="0.3">
      <c r="A122" s="116" t="s">
        <v>360</v>
      </c>
      <c r="B122" s="313">
        <f>IFERROR(J122/J$47,"-")</f>
        <v>720</v>
      </c>
      <c r="C122" s="351">
        <v>7920</v>
      </c>
      <c r="D122" s="352">
        <v>7920</v>
      </c>
      <c r="E122" s="352">
        <v>7920</v>
      </c>
      <c r="F122" s="352">
        <v>7920</v>
      </c>
      <c r="G122" s="352">
        <v>7920</v>
      </c>
      <c r="H122" s="353">
        <v>7920</v>
      </c>
      <c r="I122" s="62">
        <f t="shared" si="96"/>
        <v>7920</v>
      </c>
      <c r="J122" s="62">
        <f t="shared" si="104"/>
        <v>47520</v>
      </c>
      <c r="K122" s="2"/>
      <c r="L122" s="195"/>
      <c r="M122" s="2"/>
    </row>
    <row r="123" spans="1:13" x14ac:dyDescent="0.3">
      <c r="A123" s="115" t="s">
        <v>75</v>
      </c>
      <c r="B123" s="53"/>
      <c r="C123" s="223">
        <f>C124+C129+C130+C131</f>
        <v>0</v>
      </c>
      <c r="D123" s="221">
        <f t="shared" ref="D123" si="107">D124+D129+D130+D131</f>
        <v>0</v>
      </c>
      <c r="E123" s="221">
        <f t="shared" ref="E123" si="108">E124+E129+E130+E131</f>
        <v>0</v>
      </c>
      <c r="F123" s="221">
        <f t="shared" ref="F123" si="109">F124+F129+F130+F131</f>
        <v>0</v>
      </c>
      <c r="G123" s="221">
        <f t="shared" ref="G123" si="110">G124+G129+G130+G131</f>
        <v>0</v>
      </c>
      <c r="H123" s="222">
        <f t="shared" ref="H123" si="111">H124+H129+H130+H131</f>
        <v>0</v>
      </c>
      <c r="I123" s="301">
        <f t="shared" si="96"/>
        <v>0</v>
      </c>
      <c r="J123" s="301">
        <f>SUM(C123:H123)</f>
        <v>0</v>
      </c>
      <c r="K123" s="2"/>
      <c r="L123" s="494" t="s">
        <v>310</v>
      </c>
      <c r="M123" s="2"/>
    </row>
    <row r="124" spans="1:13" x14ac:dyDescent="0.3">
      <c r="A124" s="116" t="s">
        <v>356</v>
      </c>
      <c r="B124" s="313">
        <f t="shared" ref="B124" si="112">IFERROR(J124/J$40,"-")</f>
        <v>0</v>
      </c>
      <c r="C124" s="294">
        <f>SUM(C125:C128)</f>
        <v>0</v>
      </c>
      <c r="D124" s="297">
        <f t="shared" ref="D124:H124" si="113">SUM(D125:D128)</f>
        <v>0</v>
      </c>
      <c r="E124" s="297">
        <f t="shared" si="113"/>
        <v>0</v>
      </c>
      <c r="F124" s="297">
        <f t="shared" si="113"/>
        <v>0</v>
      </c>
      <c r="G124" s="297">
        <f t="shared" si="113"/>
        <v>0</v>
      </c>
      <c r="H124" s="296">
        <f t="shared" si="113"/>
        <v>0</v>
      </c>
      <c r="I124" s="62">
        <f t="shared" si="96"/>
        <v>0</v>
      </c>
      <c r="J124" s="62">
        <f>SUM(C124:H124)</f>
        <v>0</v>
      </c>
      <c r="K124" s="2"/>
      <c r="L124" s="187"/>
      <c r="M124" s="2"/>
    </row>
    <row r="125" spans="1:13" x14ac:dyDescent="0.3">
      <c r="A125" s="36" t="s">
        <v>357</v>
      </c>
      <c r="B125" s="37">
        <f t="shared" ref="B125" si="114">IFERROR(J125/J$41,"-")</f>
        <v>0</v>
      </c>
      <c r="C125" s="324">
        <v>0</v>
      </c>
      <c r="D125" s="325">
        <v>0</v>
      </c>
      <c r="E125" s="325">
        <v>0</v>
      </c>
      <c r="F125" s="325">
        <v>0</v>
      </c>
      <c r="G125" s="325">
        <v>0</v>
      </c>
      <c r="H125" s="326">
        <v>0</v>
      </c>
      <c r="I125" s="10">
        <f t="shared" si="96"/>
        <v>0</v>
      </c>
      <c r="J125" s="39">
        <f t="shared" ref="J125:J131" si="115">SUM(C125:H125)</f>
        <v>0</v>
      </c>
      <c r="K125" s="2"/>
      <c r="L125" s="186"/>
      <c r="M125" s="2"/>
    </row>
    <row r="126" spans="1:13" ht="13.15" customHeight="1" x14ac:dyDescent="0.3">
      <c r="A126" s="36" t="s">
        <v>358</v>
      </c>
      <c r="B126" s="37">
        <f t="shared" ref="B126" si="116">IFERROR(J126/J$42,"-")</f>
        <v>0</v>
      </c>
      <c r="C126" s="324">
        <v>0</v>
      </c>
      <c r="D126" s="324">
        <v>0</v>
      </c>
      <c r="E126" s="324">
        <v>0</v>
      </c>
      <c r="F126" s="324">
        <v>0</v>
      </c>
      <c r="G126" s="324">
        <v>0</v>
      </c>
      <c r="H126" s="326">
        <v>0</v>
      </c>
      <c r="I126" s="39">
        <f t="shared" si="96"/>
        <v>0</v>
      </c>
      <c r="J126" s="39">
        <f t="shared" si="115"/>
        <v>0</v>
      </c>
      <c r="K126" s="2"/>
      <c r="L126" s="187"/>
      <c r="M126" s="2"/>
    </row>
    <row r="127" spans="1:13" x14ac:dyDescent="0.3">
      <c r="A127" s="36" t="s">
        <v>359</v>
      </c>
      <c r="B127" s="37">
        <f t="shared" ref="B127" si="117">IFERROR(J127/J$43,"-")</f>
        <v>0</v>
      </c>
      <c r="C127" s="324">
        <v>0</v>
      </c>
      <c r="D127" s="324">
        <v>0</v>
      </c>
      <c r="E127" s="324">
        <v>0</v>
      </c>
      <c r="F127" s="324">
        <v>0</v>
      </c>
      <c r="G127" s="324">
        <v>0</v>
      </c>
      <c r="H127" s="326">
        <v>0</v>
      </c>
      <c r="I127" s="39">
        <f t="shared" si="96"/>
        <v>0</v>
      </c>
      <c r="J127" s="39">
        <f t="shared" si="115"/>
        <v>0</v>
      </c>
      <c r="K127" s="2"/>
      <c r="L127" s="187"/>
      <c r="M127" s="2"/>
    </row>
    <row r="128" spans="1:13" x14ac:dyDescent="0.3">
      <c r="A128" s="36" t="s">
        <v>461</v>
      </c>
      <c r="B128" s="37" t="str">
        <f t="shared" ref="B128" si="118">IFERROR(J128/J$44,"-")</f>
        <v>-</v>
      </c>
      <c r="C128" s="324">
        <v>0</v>
      </c>
      <c r="D128" s="324">
        <v>0</v>
      </c>
      <c r="E128" s="324">
        <v>0</v>
      </c>
      <c r="F128" s="324">
        <v>0</v>
      </c>
      <c r="G128" s="324">
        <v>0</v>
      </c>
      <c r="H128" s="326">
        <v>0</v>
      </c>
      <c r="I128" s="39">
        <f t="shared" si="96"/>
        <v>0</v>
      </c>
      <c r="J128" s="39">
        <f t="shared" si="115"/>
        <v>0</v>
      </c>
      <c r="K128" s="2"/>
      <c r="L128" s="187"/>
      <c r="M128" s="2"/>
    </row>
    <row r="129" spans="1:13" x14ac:dyDescent="0.3">
      <c r="A129" s="116" t="s">
        <v>332</v>
      </c>
      <c r="B129" s="313" t="str">
        <f t="shared" ref="B129" si="119">IFERROR(J129/J$45,"-")</f>
        <v>-</v>
      </c>
      <c r="C129" s="351">
        <v>0</v>
      </c>
      <c r="D129" s="352">
        <v>0</v>
      </c>
      <c r="E129" s="352">
        <v>0</v>
      </c>
      <c r="F129" s="352">
        <v>0</v>
      </c>
      <c r="G129" s="352">
        <v>0</v>
      </c>
      <c r="H129" s="353">
        <v>0</v>
      </c>
      <c r="I129" s="62">
        <f t="shared" si="96"/>
        <v>0</v>
      </c>
      <c r="J129" s="62">
        <f t="shared" si="115"/>
        <v>0</v>
      </c>
      <c r="K129" s="2"/>
      <c r="L129" s="195"/>
      <c r="M129" s="2"/>
    </row>
    <row r="130" spans="1:13" x14ac:dyDescent="0.3">
      <c r="A130" s="116" t="s">
        <v>463</v>
      </c>
      <c r="B130" s="313" t="str">
        <f>IFERROR(J130/J$46,"-")</f>
        <v>-</v>
      </c>
      <c r="C130" s="351">
        <v>0</v>
      </c>
      <c r="D130" s="352">
        <v>0</v>
      </c>
      <c r="E130" s="352">
        <v>0</v>
      </c>
      <c r="F130" s="352">
        <v>0</v>
      </c>
      <c r="G130" s="352">
        <v>0</v>
      </c>
      <c r="H130" s="353">
        <v>0</v>
      </c>
      <c r="I130" s="62">
        <f t="shared" ref="I130" si="120">IFERROR(AVERAGE(C130:H130),0)</f>
        <v>0</v>
      </c>
      <c r="J130" s="62">
        <f t="shared" ref="J130" si="121">SUM(C130:H130)</f>
        <v>0</v>
      </c>
      <c r="K130" s="2"/>
      <c r="L130" s="195"/>
      <c r="M130" s="2"/>
    </row>
    <row r="131" spans="1:13" x14ac:dyDescent="0.3">
      <c r="A131" s="116" t="s">
        <v>360</v>
      </c>
      <c r="B131" s="313">
        <f>IFERROR(J131/J$47,"-")</f>
        <v>0</v>
      </c>
      <c r="C131" s="351">
        <v>0</v>
      </c>
      <c r="D131" s="352">
        <v>0</v>
      </c>
      <c r="E131" s="352">
        <v>0</v>
      </c>
      <c r="F131" s="352">
        <v>0</v>
      </c>
      <c r="G131" s="352">
        <v>0</v>
      </c>
      <c r="H131" s="353">
        <v>0</v>
      </c>
      <c r="I131" s="62">
        <f t="shared" ref="I131" si="122">IFERROR(AVERAGE(C131:H131),0)</f>
        <v>0</v>
      </c>
      <c r="J131" s="62">
        <f t="shared" si="115"/>
        <v>0</v>
      </c>
      <c r="K131" s="2"/>
      <c r="L131" s="195"/>
      <c r="M131" s="2"/>
    </row>
    <row r="132" spans="1:13" x14ac:dyDescent="0.3">
      <c r="A132" s="115" t="s">
        <v>76</v>
      </c>
      <c r="B132" s="53"/>
      <c r="C132" s="223">
        <f>C133+C138+C139+C140</f>
        <v>125185.57756088316</v>
      </c>
      <c r="D132" s="221">
        <f t="shared" ref="D132" si="123">D133+D138+D139+D140</f>
        <v>125177.74724839655</v>
      </c>
      <c r="E132" s="221">
        <f t="shared" ref="E132" si="124">E133+E138+E139+E140</f>
        <v>125173.78335576849</v>
      </c>
      <c r="F132" s="221">
        <f t="shared" ref="F132" si="125">F133+F138+F139+F140</f>
        <v>125161.89167788425</v>
      </c>
      <c r="G132" s="221">
        <f t="shared" ref="G132" si="126">G133+G138+G139+G140</f>
        <v>125165.8122492814</v>
      </c>
      <c r="H132" s="222">
        <f t="shared" ref="H132" si="127">H133+H138+H139+H140</f>
        <v>125584.0462427746</v>
      </c>
      <c r="I132" s="301">
        <f t="shared" si="96"/>
        <v>125241.47638916475</v>
      </c>
      <c r="J132" s="301">
        <f>SUM(C132:H132)</f>
        <v>751448.85833498847</v>
      </c>
      <c r="K132" s="2"/>
      <c r="L132" s="494" t="s">
        <v>310</v>
      </c>
      <c r="M132" s="2"/>
    </row>
    <row r="133" spans="1:13" x14ac:dyDescent="0.3">
      <c r="A133" s="116" t="s">
        <v>356</v>
      </c>
      <c r="B133" s="313">
        <f t="shared" ref="B133" si="128">IFERROR(J133/J$40,"-")</f>
        <v>704.47869819780385</v>
      </c>
      <c r="C133" s="294">
        <f>SUM(C134:C137)</f>
        <v>117228.06311001611</v>
      </c>
      <c r="D133" s="297">
        <f t="shared" ref="D133:H133" si="129">SUM(D134:D137)</f>
        <v>117220.2327975295</v>
      </c>
      <c r="E133" s="297">
        <f t="shared" si="129"/>
        <v>117216.26890490144</v>
      </c>
      <c r="F133" s="297">
        <f t="shared" si="129"/>
        <v>117204.3772270172</v>
      </c>
      <c r="G133" s="297">
        <f t="shared" si="129"/>
        <v>117208.29779841435</v>
      </c>
      <c r="H133" s="296">
        <f t="shared" si="129"/>
        <v>117626.53179190755</v>
      </c>
      <c r="I133" s="62">
        <f t="shared" si="96"/>
        <v>117283.96193829768</v>
      </c>
      <c r="J133" s="62">
        <f>SUM(C133:H133)</f>
        <v>703703.77162978612</v>
      </c>
      <c r="K133" s="2"/>
      <c r="L133" s="187"/>
      <c r="M133" s="2"/>
    </row>
    <row r="134" spans="1:13" x14ac:dyDescent="0.3">
      <c r="A134" s="36" t="s">
        <v>357</v>
      </c>
      <c r="B134" s="37">
        <f t="shared" ref="B134" si="130">IFERROR(J134/J$41,"-")</f>
        <v>702.61378594580458</v>
      </c>
      <c r="C134" s="324">
        <v>75004.832425371715</v>
      </c>
      <c r="D134" s="325">
        <v>75000.485191419866</v>
      </c>
      <c r="E134" s="325">
        <v>74998.284516971224</v>
      </c>
      <c r="F134" s="325">
        <v>75554.825193035416</v>
      </c>
      <c r="G134" s="325">
        <v>75959.22107022228</v>
      </c>
      <c r="H134" s="326">
        <v>76190.466163580291</v>
      </c>
      <c r="I134" s="10">
        <f t="shared" si="96"/>
        <v>75451.352426766796</v>
      </c>
      <c r="J134" s="39">
        <f t="shared" ref="J134:J140" si="131">SUM(C134:H134)</f>
        <v>452708.11456060078</v>
      </c>
      <c r="K134" s="2"/>
      <c r="L134" s="186"/>
      <c r="M134" s="2"/>
    </row>
    <row r="135" spans="1:13" ht="13.15" customHeight="1" x14ac:dyDescent="0.3">
      <c r="A135" s="36" t="s">
        <v>358</v>
      </c>
      <c r="B135" s="37">
        <f t="shared" ref="B135" si="132">IFERROR(J135/J$42,"-")</f>
        <v>706.29092539058649</v>
      </c>
      <c r="C135" s="324">
        <v>38336.574400761907</v>
      </c>
      <c r="D135" s="324">
        <v>38333.091322227141</v>
      </c>
      <c r="E135" s="324">
        <v>38331.328104047723</v>
      </c>
      <c r="F135" s="324">
        <v>37760.766075423184</v>
      </c>
      <c r="G135" s="324">
        <v>37362.420444309588</v>
      </c>
      <c r="H135" s="326">
        <v>37548.699452886045</v>
      </c>
      <c r="I135" s="39">
        <f t="shared" si="96"/>
        <v>37945.479966609266</v>
      </c>
      <c r="J135" s="39">
        <f t="shared" si="131"/>
        <v>227672.87979965558</v>
      </c>
      <c r="K135" s="2"/>
      <c r="L135" s="187"/>
      <c r="M135" s="2"/>
    </row>
    <row r="136" spans="1:13" x14ac:dyDescent="0.3">
      <c r="A136" s="36" t="s">
        <v>359</v>
      </c>
      <c r="B136" s="37">
        <f t="shared" ref="B136" si="133">IFERROR(J136/J$43,"-")</f>
        <v>723.63565837821216</v>
      </c>
      <c r="C136" s="324">
        <v>3886.6562838824957</v>
      </c>
      <c r="D136" s="324">
        <v>3886.6562838824957</v>
      </c>
      <c r="E136" s="324">
        <v>3886.6562838824957</v>
      </c>
      <c r="F136" s="324">
        <v>3888.7859585585957</v>
      </c>
      <c r="G136" s="324">
        <v>3886.6562838824957</v>
      </c>
      <c r="H136" s="326">
        <v>3887.3661754411955</v>
      </c>
      <c r="I136" s="39">
        <f t="shared" si="96"/>
        <v>3887.1295449216291</v>
      </c>
      <c r="J136" s="39">
        <f t="shared" si="131"/>
        <v>23322.777269529775</v>
      </c>
      <c r="K136" s="2"/>
      <c r="L136" s="187"/>
      <c r="M136" s="2"/>
    </row>
    <row r="137" spans="1:13" x14ac:dyDescent="0.3">
      <c r="A137" s="36" t="s">
        <v>461</v>
      </c>
      <c r="B137" s="37" t="str">
        <f t="shared" ref="B137" si="134">IFERROR(J137/J$44,"-")</f>
        <v>-</v>
      </c>
      <c r="C137" s="324">
        <v>0</v>
      </c>
      <c r="D137" s="324">
        <v>0</v>
      </c>
      <c r="E137" s="324">
        <v>0</v>
      </c>
      <c r="F137" s="324">
        <v>0</v>
      </c>
      <c r="G137" s="324">
        <v>0</v>
      </c>
      <c r="H137" s="326">
        <v>0</v>
      </c>
      <c r="I137" s="39">
        <f t="shared" si="96"/>
        <v>0</v>
      </c>
      <c r="J137" s="39">
        <f t="shared" si="131"/>
        <v>0</v>
      </c>
      <c r="K137" s="2"/>
      <c r="L137" s="187"/>
      <c r="M137" s="2"/>
    </row>
    <row r="138" spans="1:13" x14ac:dyDescent="0.3">
      <c r="A138" s="116" t="s">
        <v>332</v>
      </c>
      <c r="B138" s="313" t="str">
        <f t="shared" ref="B138" si="135">IFERROR(J138/J$45,"-")</f>
        <v>-</v>
      </c>
      <c r="C138" s="351">
        <v>0</v>
      </c>
      <c r="D138" s="352">
        <v>0</v>
      </c>
      <c r="E138" s="352">
        <v>0</v>
      </c>
      <c r="F138" s="352">
        <v>0</v>
      </c>
      <c r="G138" s="352">
        <v>0</v>
      </c>
      <c r="H138" s="353">
        <v>0</v>
      </c>
      <c r="I138" s="62">
        <f t="shared" si="96"/>
        <v>0</v>
      </c>
      <c r="J138" s="62">
        <f t="shared" si="131"/>
        <v>0</v>
      </c>
      <c r="K138" s="2"/>
      <c r="L138" s="195"/>
      <c r="M138" s="2"/>
    </row>
    <row r="139" spans="1:13" x14ac:dyDescent="0.3">
      <c r="A139" s="116" t="s">
        <v>463</v>
      </c>
      <c r="B139" s="313" t="str">
        <f>IFERROR(J139/J$46,"-")</f>
        <v>-</v>
      </c>
      <c r="C139" s="351">
        <v>0</v>
      </c>
      <c r="D139" s="352">
        <v>0</v>
      </c>
      <c r="E139" s="352">
        <v>0</v>
      </c>
      <c r="F139" s="352">
        <v>0</v>
      </c>
      <c r="G139" s="352">
        <v>0</v>
      </c>
      <c r="H139" s="353">
        <v>0</v>
      </c>
      <c r="I139" s="62">
        <f t="shared" ref="I139" si="136">IFERROR(AVERAGE(C139:H139),0)</f>
        <v>0</v>
      </c>
      <c r="J139" s="62">
        <f t="shared" ref="J139" si="137">SUM(C139:H139)</f>
        <v>0</v>
      </c>
      <c r="K139" s="2"/>
      <c r="L139" s="195"/>
      <c r="M139" s="2"/>
    </row>
    <row r="140" spans="1:13" x14ac:dyDescent="0.3">
      <c r="A140" s="116" t="s">
        <v>360</v>
      </c>
      <c r="B140" s="313">
        <f>IFERROR(J140/J$47,"-")</f>
        <v>723.41040462427736</v>
      </c>
      <c r="C140" s="351">
        <v>7957.5144508670519</v>
      </c>
      <c r="D140" s="352">
        <v>7957.5144508670519</v>
      </c>
      <c r="E140" s="352">
        <v>7957.5144508670519</v>
      </c>
      <c r="F140" s="352">
        <v>7957.5144508670519</v>
      </c>
      <c r="G140" s="352">
        <v>7957.5144508670519</v>
      </c>
      <c r="H140" s="353">
        <v>7957.5144508670519</v>
      </c>
      <c r="I140" s="62">
        <f t="shared" ref="I140" si="138">IFERROR(AVERAGE(C140:H140),0)</f>
        <v>7957.5144508670519</v>
      </c>
      <c r="J140" s="62">
        <f t="shared" si="131"/>
        <v>47745.08670520231</v>
      </c>
      <c r="K140" s="2"/>
      <c r="L140" s="195"/>
      <c r="M140" s="2"/>
    </row>
    <row r="141" spans="1:13" x14ac:dyDescent="0.3">
      <c r="A141" s="115" t="s">
        <v>368</v>
      </c>
      <c r="B141" s="53"/>
      <c r="C141" s="223">
        <f>SUM(C142:C148)</f>
        <v>240000</v>
      </c>
      <c r="D141" s="221">
        <f t="shared" ref="D141:H141" si="139">SUM(D142:D148)</f>
        <v>240000</v>
      </c>
      <c r="E141" s="221">
        <f t="shared" si="139"/>
        <v>240000</v>
      </c>
      <c r="F141" s="221">
        <f t="shared" si="139"/>
        <v>240000</v>
      </c>
      <c r="G141" s="221">
        <f t="shared" si="139"/>
        <v>240000</v>
      </c>
      <c r="H141" s="222">
        <f t="shared" si="139"/>
        <v>240000</v>
      </c>
      <c r="I141" s="301">
        <f t="shared" si="96"/>
        <v>240000</v>
      </c>
      <c r="J141" s="301">
        <f>SUM(C141:H141)</f>
        <v>1440000</v>
      </c>
      <c r="K141" s="2"/>
      <c r="L141" s="195"/>
      <c r="M141" s="2"/>
    </row>
    <row r="142" spans="1:13" x14ac:dyDescent="0.3">
      <c r="A142" s="345" t="str">
        <f>'4a'!A428</f>
        <v>Equipement personnel de conduite</v>
      </c>
      <c r="B142" s="37">
        <f>IFERROR(J142/J$48,"-")</f>
        <v>1155.0380317400695</v>
      </c>
      <c r="C142" s="324">
        <f>'4a'!C428</f>
        <v>205000</v>
      </c>
      <c r="D142" s="325">
        <f>'4a'!D428</f>
        <v>205000</v>
      </c>
      <c r="E142" s="325">
        <f>'4a'!E428</f>
        <v>205000</v>
      </c>
      <c r="F142" s="325">
        <f>'4a'!F428</f>
        <v>205000</v>
      </c>
      <c r="G142" s="325">
        <f>'4a'!G428</f>
        <v>205000</v>
      </c>
      <c r="H142" s="326">
        <f>'4a'!H428</f>
        <v>205000</v>
      </c>
      <c r="I142" s="10">
        <f t="shared" si="96"/>
        <v>205000</v>
      </c>
      <c r="J142" s="39">
        <f t="shared" ref="J142:J148" si="140">SUM(C142:H142)</f>
        <v>1230000</v>
      </c>
      <c r="K142" s="2"/>
      <c r="L142" s="186"/>
      <c r="M142" s="2"/>
    </row>
    <row r="143" spans="1:13" ht="13.15" customHeight="1" x14ac:dyDescent="0.3">
      <c r="A143" s="345" t="str">
        <f>'4a'!A429</f>
        <v>Equipement personnel d'atelier</v>
      </c>
      <c r="B143" s="37">
        <f t="shared" ref="B143:B148" si="141">IFERROR(J143/J$48,"-")</f>
        <v>197.20161517513384</v>
      </c>
      <c r="C143" s="324">
        <f>'4a'!C429</f>
        <v>35000</v>
      </c>
      <c r="D143" s="324">
        <f>'4a'!D429</f>
        <v>35000</v>
      </c>
      <c r="E143" s="324">
        <f>'4a'!E429</f>
        <v>35000</v>
      </c>
      <c r="F143" s="324">
        <f>'4a'!F429</f>
        <v>35000</v>
      </c>
      <c r="G143" s="324">
        <f>'4a'!G429</f>
        <v>35000</v>
      </c>
      <c r="H143" s="326">
        <f>'4a'!H429</f>
        <v>35000</v>
      </c>
      <c r="I143" s="39">
        <f t="shared" si="96"/>
        <v>35000</v>
      </c>
      <c r="J143" s="39">
        <f t="shared" si="140"/>
        <v>210000</v>
      </c>
      <c r="K143" s="2"/>
      <c r="L143" s="187"/>
      <c r="M143" s="2"/>
    </row>
    <row r="144" spans="1:13" x14ac:dyDescent="0.3">
      <c r="A144" s="345"/>
      <c r="B144" s="37">
        <f t="shared" si="141"/>
        <v>0</v>
      </c>
      <c r="C144" s="324"/>
      <c r="D144" s="324"/>
      <c r="E144" s="324"/>
      <c r="F144" s="324"/>
      <c r="G144" s="324"/>
      <c r="H144" s="326"/>
      <c r="I144" s="39">
        <f t="shared" si="96"/>
        <v>0</v>
      </c>
      <c r="J144" s="39">
        <f t="shared" si="140"/>
        <v>0</v>
      </c>
      <c r="K144" s="2"/>
      <c r="L144" s="187"/>
      <c r="M144" s="2"/>
    </row>
    <row r="145" spans="1:13" x14ac:dyDescent="0.3">
      <c r="A145" s="345"/>
      <c r="B145" s="37">
        <f t="shared" si="141"/>
        <v>0</v>
      </c>
      <c r="C145" s="324"/>
      <c r="D145" s="324"/>
      <c r="E145" s="324"/>
      <c r="F145" s="324"/>
      <c r="G145" s="324"/>
      <c r="H145" s="326"/>
      <c r="I145" s="39">
        <f t="shared" si="96"/>
        <v>0</v>
      </c>
      <c r="J145" s="39">
        <f t="shared" si="140"/>
        <v>0</v>
      </c>
      <c r="K145" s="2"/>
      <c r="L145" s="187"/>
      <c r="M145" s="2"/>
    </row>
    <row r="146" spans="1:13" x14ac:dyDescent="0.3">
      <c r="A146" s="345"/>
      <c r="B146" s="37">
        <f t="shared" si="141"/>
        <v>0</v>
      </c>
      <c r="C146" s="324"/>
      <c r="D146" s="324"/>
      <c r="E146" s="324"/>
      <c r="F146" s="324"/>
      <c r="G146" s="324"/>
      <c r="H146" s="326"/>
      <c r="I146" s="39">
        <f t="shared" si="96"/>
        <v>0</v>
      </c>
      <c r="J146" s="39">
        <f t="shared" si="140"/>
        <v>0</v>
      </c>
      <c r="K146" s="2"/>
      <c r="L146" s="187"/>
      <c r="M146" s="2"/>
    </row>
    <row r="147" spans="1:13" x14ac:dyDescent="0.3">
      <c r="A147" s="345"/>
      <c r="B147" s="37">
        <f t="shared" si="141"/>
        <v>0</v>
      </c>
      <c r="C147" s="324"/>
      <c r="D147" s="324"/>
      <c r="E147" s="324"/>
      <c r="F147" s="324"/>
      <c r="G147" s="324"/>
      <c r="H147" s="326"/>
      <c r="I147" s="39">
        <f t="shared" si="96"/>
        <v>0</v>
      </c>
      <c r="J147" s="39">
        <f t="shared" si="140"/>
        <v>0</v>
      </c>
      <c r="K147" s="2"/>
      <c r="L147" s="187"/>
      <c r="M147" s="2"/>
    </row>
    <row r="148" spans="1:13" x14ac:dyDescent="0.3">
      <c r="A148" s="346"/>
      <c r="B148" s="79">
        <f t="shared" si="141"/>
        <v>0</v>
      </c>
      <c r="C148" s="330"/>
      <c r="D148" s="330"/>
      <c r="E148" s="330"/>
      <c r="F148" s="330"/>
      <c r="G148" s="330"/>
      <c r="H148" s="331"/>
      <c r="I148" s="229">
        <f t="shared" si="96"/>
        <v>0</v>
      </c>
      <c r="J148" s="229">
        <f t="shared" si="140"/>
        <v>0</v>
      </c>
      <c r="K148" s="2"/>
      <c r="L148" s="202"/>
      <c r="M148" s="2"/>
    </row>
    <row r="149" spans="1:13" x14ac:dyDescent="0.3">
      <c r="A149" s="18" t="s">
        <v>8</v>
      </c>
      <c r="B149" s="164">
        <f>IFERROR(J123/J$48,"-")</f>
        <v>0</v>
      </c>
      <c r="C149" s="60">
        <f>C114+C123+C132+C141</f>
        <v>1015787.544773998</v>
      </c>
      <c r="D149" s="19">
        <f t="shared" ref="D149:H149" si="142">D114+D123+D132+D141</f>
        <v>1015739.6650566157</v>
      </c>
      <c r="E149" s="19">
        <f t="shared" si="142"/>
        <v>1015715.4271913852</v>
      </c>
      <c r="F149" s="19">
        <f t="shared" si="142"/>
        <v>1015630.3848285693</v>
      </c>
      <c r="G149" s="19">
        <f t="shared" si="142"/>
        <v>1015666.6865662214</v>
      </c>
      <c r="H149" s="35">
        <f t="shared" si="142"/>
        <v>1018219.9366537336</v>
      </c>
      <c r="I149" s="35">
        <f>IFERROR(AVERAGE(C149:H149),0)</f>
        <v>1016126.6075117538</v>
      </c>
      <c r="J149" s="35">
        <f>SUM(C149:H149)</f>
        <v>6096759.645070523</v>
      </c>
      <c r="K149" s="2"/>
      <c r="L149" s="195"/>
      <c r="M149" s="31"/>
    </row>
    <row r="150" spans="1:13" x14ac:dyDescent="0.3">
      <c r="C150" s="163"/>
      <c r="D150" s="163"/>
      <c r="E150" s="163"/>
      <c r="F150" s="163"/>
      <c r="G150" s="163"/>
      <c r="H150" s="163"/>
      <c r="I150" s="163"/>
      <c r="J150" s="163"/>
      <c r="K150" s="2"/>
      <c r="M150" s="2"/>
    </row>
    <row r="151" spans="1:13" x14ac:dyDescent="0.3">
      <c r="C151" s="163"/>
      <c r="D151" s="163"/>
      <c r="E151" s="163"/>
      <c r="F151" s="163"/>
      <c r="G151" s="163"/>
      <c r="H151" s="163"/>
      <c r="I151" s="163"/>
      <c r="J151" s="163"/>
      <c r="K151" s="2"/>
      <c r="M151" s="2"/>
    </row>
    <row r="152" spans="1:13" x14ac:dyDescent="0.3">
      <c r="A152" s="21" t="s">
        <v>83</v>
      </c>
      <c r="B152" s="152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2"/>
    </row>
    <row r="153" spans="1:13" ht="14.5" x14ac:dyDescent="0.35">
      <c r="C153" s="2"/>
      <c r="D153" s="2"/>
      <c r="E153" s="2"/>
      <c r="F153" s="2"/>
      <c r="G153" s="2"/>
      <c r="H153" s="2"/>
      <c r="I153" s="2"/>
      <c r="J153" s="2"/>
      <c r="K153" s="2"/>
      <c r="L153"/>
      <c r="M153" s="2"/>
    </row>
    <row r="154" spans="1:13" x14ac:dyDescent="0.3">
      <c r="A154" s="42" t="s">
        <v>74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2"/>
    </row>
    <row r="155" spans="1: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52.15" customHeight="1" x14ac:dyDescent="0.3">
      <c r="A156" s="45" t="s">
        <v>189</v>
      </c>
      <c r="B156" s="46" t="s">
        <v>188</v>
      </c>
      <c r="C156" s="47" t="s">
        <v>20</v>
      </c>
      <c r="D156" s="47" t="s">
        <v>79</v>
      </c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">
      <c r="A157" s="36" t="s">
        <v>357</v>
      </c>
      <c r="B157" s="333">
        <f>'4a'!B$443</f>
        <v>26.08</v>
      </c>
      <c r="C157" s="334">
        <f>'4a'!C$443</f>
        <v>38.342104721730024</v>
      </c>
      <c r="D157" s="328">
        <v>0</v>
      </c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3">
      <c r="A158" s="36" t="s">
        <v>358</v>
      </c>
      <c r="B158" s="333">
        <f>'4a'!B$443</f>
        <v>26.08</v>
      </c>
      <c r="C158" s="334">
        <f>'4a'!C$443</f>
        <v>38.342104721730024</v>
      </c>
      <c r="D158" s="328">
        <v>0</v>
      </c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3">
      <c r="A159" s="36" t="s">
        <v>359</v>
      </c>
      <c r="B159" s="333">
        <f>'4a'!B$443</f>
        <v>26.08</v>
      </c>
      <c r="C159" s="334">
        <f>'4a'!C$443</f>
        <v>38.342104721730024</v>
      </c>
      <c r="D159" s="334">
        <v>0</v>
      </c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3">
      <c r="A160" s="36" t="s">
        <v>461</v>
      </c>
      <c r="B160" s="333"/>
      <c r="C160" s="334"/>
      <c r="D160" s="328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3">
      <c r="A161" s="36" t="s">
        <v>332</v>
      </c>
      <c r="B161" s="333"/>
      <c r="C161" s="334"/>
      <c r="D161" s="334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3">
      <c r="A162" s="36" t="s">
        <v>463</v>
      </c>
      <c r="B162" s="333"/>
      <c r="C162" s="334"/>
      <c r="D162" s="334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3">
      <c r="A163" s="59" t="s">
        <v>360</v>
      </c>
      <c r="B163" s="335">
        <f>'4a'!B$443</f>
        <v>26.08</v>
      </c>
      <c r="C163" s="336">
        <f>'4a'!C$443</f>
        <v>38.342104721730024</v>
      </c>
      <c r="D163" s="336">
        <v>0</v>
      </c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3">
      <c r="B164" s="11"/>
      <c r="J164" s="2"/>
      <c r="L164" s="2"/>
    </row>
    <row r="165" spans="1:13" ht="26" x14ac:dyDescent="0.3">
      <c r="A165" s="693" t="s">
        <v>307</v>
      </c>
      <c r="B165" s="678"/>
      <c r="C165" s="3">
        <f>Annee</f>
        <v>2024</v>
      </c>
      <c r="D165" s="291">
        <f>C165+1</f>
        <v>2025</v>
      </c>
      <c r="E165" s="291">
        <f t="shared" ref="E165:G165" si="143">D165+1</f>
        <v>2026</v>
      </c>
      <c r="F165" s="291">
        <f t="shared" si="143"/>
        <v>2027</v>
      </c>
      <c r="G165" s="291">
        <f t="shared" si="143"/>
        <v>2028</v>
      </c>
      <c r="H165" s="295">
        <f>G165+1</f>
        <v>2029</v>
      </c>
      <c r="I165" s="179" t="s">
        <v>271</v>
      </c>
      <c r="J165" s="4" t="s">
        <v>62</v>
      </c>
      <c r="L165" s="185" t="s">
        <v>305</v>
      </c>
    </row>
    <row r="166" spans="1:13" x14ac:dyDescent="0.3">
      <c r="A166" s="692"/>
      <c r="B166" s="679"/>
      <c r="C166" s="77">
        <v>12</v>
      </c>
      <c r="D166" s="77">
        <v>12</v>
      </c>
      <c r="E166" s="77">
        <v>12</v>
      </c>
      <c r="F166" s="77">
        <v>12</v>
      </c>
      <c r="G166" s="77">
        <v>12</v>
      </c>
      <c r="H166" s="77">
        <v>12</v>
      </c>
      <c r="I166" s="78">
        <f t="shared" ref="I166:I173" si="144">IFERROR(AVERAGE(C166:H166),0)</f>
        <v>12</v>
      </c>
      <c r="J166" s="78">
        <f t="shared" ref="J166:J173" si="145">SUM(C166:H166)</f>
        <v>72</v>
      </c>
      <c r="L166" s="193"/>
    </row>
    <row r="167" spans="1:13" x14ac:dyDescent="0.3">
      <c r="A167" s="25" t="s">
        <v>357</v>
      </c>
      <c r="B167" s="37"/>
      <c r="C167" s="325">
        <f>'4a'!C454</f>
        <v>298593.01093574113</v>
      </c>
      <c r="D167" s="325">
        <f>'4a'!D454</f>
        <v>298593.01093574124</v>
      </c>
      <c r="E167" s="325">
        <f>'4a'!E454</f>
        <v>298593.01093574119</v>
      </c>
      <c r="F167" s="325">
        <f>'4a'!F454</f>
        <v>298593.01093574124</v>
      </c>
      <c r="G167" s="325">
        <f>'4a'!G454</f>
        <v>298593.01093574124</v>
      </c>
      <c r="H167" s="569">
        <f>'4a'!H454</f>
        <v>298593.01093574119</v>
      </c>
      <c r="I167" s="14">
        <f>IFERROR(AVERAGE(C167:H167),0)</f>
        <v>298593.01093574119</v>
      </c>
      <c r="J167" s="39">
        <f t="shared" si="145"/>
        <v>1791558.0656144472</v>
      </c>
      <c r="L167" s="187"/>
    </row>
    <row r="168" spans="1:13" x14ac:dyDescent="0.3">
      <c r="A168" s="25" t="s">
        <v>358</v>
      </c>
      <c r="B168" s="37"/>
      <c r="C168" s="324">
        <v>98861.516666666794</v>
      </c>
      <c r="D168" s="324">
        <v>98861.516666666808</v>
      </c>
      <c r="E168" s="324">
        <v>98861.516666666808</v>
      </c>
      <c r="F168" s="324">
        <v>98861.516666666808</v>
      </c>
      <c r="G168" s="324">
        <v>98861.516666666808</v>
      </c>
      <c r="H168" s="326">
        <v>98861.516666666808</v>
      </c>
      <c r="I168" s="14">
        <f t="shared" ref="I168:I171" si="146">IFERROR(AVERAGE(C168:H168),0)</f>
        <v>98861.516666666823</v>
      </c>
      <c r="J168" s="39">
        <f t="shared" si="145"/>
        <v>593169.10000000091</v>
      </c>
      <c r="L168" s="187"/>
    </row>
    <row r="169" spans="1:13" x14ac:dyDescent="0.3">
      <c r="A169" s="25" t="s">
        <v>359</v>
      </c>
      <c r="B169" s="37"/>
      <c r="C169" s="324">
        <v>20235.716666666802</v>
      </c>
      <c r="D169" s="324">
        <v>20235.716666666751</v>
      </c>
      <c r="E169" s="324">
        <v>20235.716666666751</v>
      </c>
      <c r="F169" s="324">
        <v>20235.716666666751</v>
      </c>
      <c r="G169" s="324">
        <v>20235.716666666751</v>
      </c>
      <c r="H169" s="326">
        <v>20235.716666666751</v>
      </c>
      <c r="I169" s="14">
        <f t="shared" si="146"/>
        <v>20235.716666666758</v>
      </c>
      <c r="J169" s="39">
        <f t="shared" si="145"/>
        <v>121414.30000000054</v>
      </c>
      <c r="L169" s="187"/>
    </row>
    <row r="170" spans="1:13" x14ac:dyDescent="0.3">
      <c r="A170" s="25" t="s">
        <v>461</v>
      </c>
      <c r="B170" s="37"/>
      <c r="C170" s="324"/>
      <c r="D170" s="324"/>
      <c r="E170" s="324"/>
      <c r="F170" s="324"/>
      <c r="G170" s="324"/>
      <c r="H170" s="326"/>
      <c r="I170" s="14">
        <f t="shared" ref="I170" si="147">IFERROR(AVERAGE(C170:H170),0)</f>
        <v>0</v>
      </c>
      <c r="J170" s="39">
        <f t="shared" ref="J170" si="148">SUM(C170:H170)</f>
        <v>0</v>
      </c>
      <c r="L170" s="187"/>
    </row>
    <row r="171" spans="1:13" x14ac:dyDescent="0.3">
      <c r="A171" s="25" t="s">
        <v>332</v>
      </c>
      <c r="B171" s="37"/>
      <c r="C171" s="324"/>
      <c r="D171" s="324"/>
      <c r="E171" s="324"/>
      <c r="F171" s="324"/>
      <c r="G171" s="324"/>
      <c r="H171" s="326"/>
      <c r="I171" s="14">
        <f t="shared" si="146"/>
        <v>0</v>
      </c>
      <c r="J171" s="39">
        <f t="shared" si="145"/>
        <v>0</v>
      </c>
      <c r="L171" s="187"/>
    </row>
    <row r="172" spans="1:13" x14ac:dyDescent="0.3">
      <c r="A172" s="25" t="s">
        <v>463</v>
      </c>
      <c r="B172" s="37"/>
      <c r="C172" s="324"/>
      <c r="D172" s="324"/>
      <c r="E172" s="324"/>
      <c r="F172" s="324"/>
      <c r="G172" s="324"/>
      <c r="H172" s="326"/>
      <c r="I172" s="14">
        <f t="shared" ref="I172" si="149">IFERROR(AVERAGE(C172:H172),0)</f>
        <v>0</v>
      </c>
      <c r="J172" s="39">
        <f t="shared" ref="J172" si="150">SUM(C172:H172)</f>
        <v>0</v>
      </c>
      <c r="L172" s="187"/>
    </row>
    <row r="173" spans="1:13" x14ac:dyDescent="0.3">
      <c r="A173" s="59" t="s">
        <v>360</v>
      </c>
      <c r="B173" s="79"/>
      <c r="C173" s="570">
        <v>14454.066666665603</v>
      </c>
      <c r="D173" s="570">
        <v>14454.066666665603</v>
      </c>
      <c r="E173" s="570">
        <v>14454.066666665603</v>
      </c>
      <c r="F173" s="570">
        <v>14454.066666665603</v>
      </c>
      <c r="G173" s="570">
        <v>14454.066666665603</v>
      </c>
      <c r="H173" s="571">
        <v>14454.066666665603</v>
      </c>
      <c r="I173" s="16">
        <f t="shared" si="144"/>
        <v>14454.066666665603</v>
      </c>
      <c r="J173" s="229">
        <f t="shared" si="145"/>
        <v>86724.39999999362</v>
      </c>
      <c r="L173" s="202"/>
      <c r="M173" s="31"/>
    </row>
    <row r="174" spans="1:13" x14ac:dyDescent="0.3">
      <c r="B174" s="11"/>
      <c r="C174" s="243"/>
      <c r="J174" s="2"/>
      <c r="L174" s="2"/>
    </row>
    <row r="175" spans="1:13" ht="26" x14ac:dyDescent="0.3">
      <c r="A175" s="693" t="s">
        <v>190</v>
      </c>
      <c r="B175" s="678"/>
      <c r="C175" s="3">
        <f>Annee</f>
        <v>2024</v>
      </c>
      <c r="D175" s="291">
        <f>C175+1</f>
        <v>2025</v>
      </c>
      <c r="E175" s="291">
        <f t="shared" ref="E175:G175" si="151">D175+1</f>
        <v>2026</v>
      </c>
      <c r="F175" s="291">
        <f t="shared" si="151"/>
        <v>2027</v>
      </c>
      <c r="G175" s="291">
        <f t="shared" si="151"/>
        <v>2028</v>
      </c>
      <c r="H175" s="295">
        <f>G175+1</f>
        <v>2029</v>
      </c>
      <c r="I175" s="179" t="s">
        <v>271</v>
      </c>
      <c r="J175" s="4" t="s">
        <v>62</v>
      </c>
      <c r="L175" s="185" t="s">
        <v>305</v>
      </c>
    </row>
    <row r="176" spans="1:13" ht="14.5" customHeight="1" x14ac:dyDescent="0.3">
      <c r="A176" s="692"/>
      <c r="B176" s="679"/>
      <c r="C176" s="77">
        <v>12</v>
      </c>
      <c r="D176" s="77">
        <v>12</v>
      </c>
      <c r="E176" s="77">
        <v>12</v>
      </c>
      <c r="F176" s="77">
        <v>12</v>
      </c>
      <c r="G176" s="77">
        <v>12</v>
      </c>
      <c r="H176" s="77">
        <v>12</v>
      </c>
      <c r="I176" s="78">
        <f t="shared" ref="I176:I184" si="152">IFERROR(AVERAGE(C176:H176),0)</f>
        <v>12</v>
      </c>
      <c r="J176" s="78">
        <f t="shared" ref="J176:J184" si="153">SUM(C176:H176)</f>
        <v>72</v>
      </c>
      <c r="L176" s="193"/>
    </row>
    <row r="177" spans="1:13" x14ac:dyDescent="0.3">
      <c r="A177" s="36" t="s">
        <v>357</v>
      </c>
      <c r="B177" s="37"/>
      <c r="C177" s="338">
        <v>258.96268331238065</v>
      </c>
      <c r="D177" s="340">
        <v>259.65026773481424</v>
      </c>
      <c r="E177" s="340">
        <v>260.3374383797439</v>
      </c>
      <c r="F177" s="340">
        <v>261.38523163585575</v>
      </c>
      <c r="G177" s="340">
        <v>262.07614179497574</v>
      </c>
      <c r="H177" s="337">
        <v>262.76903808611371</v>
      </c>
      <c r="I177" s="228">
        <f t="shared" si="152"/>
        <v>260.86346682398062</v>
      </c>
      <c r="J177" s="160">
        <f t="shared" si="153"/>
        <v>1565.1808009438837</v>
      </c>
      <c r="L177" s="186"/>
    </row>
    <row r="178" spans="1:13" x14ac:dyDescent="0.3">
      <c r="A178" s="36" t="s">
        <v>358</v>
      </c>
      <c r="B178" s="37"/>
      <c r="C178" s="338">
        <v>85.740264154545955</v>
      </c>
      <c r="D178" s="338">
        <v>85.967917302304258</v>
      </c>
      <c r="E178" s="338">
        <v>86.195433451974566</v>
      </c>
      <c r="F178" s="338">
        <v>86.542348572752815</v>
      </c>
      <c r="G178" s="338">
        <v>86.77110284264333</v>
      </c>
      <c r="H178" s="337">
        <v>87.00051470335616</v>
      </c>
      <c r="I178" s="160">
        <f t="shared" si="152"/>
        <v>86.369596837929521</v>
      </c>
      <c r="J178" s="160">
        <f t="shared" si="153"/>
        <v>518.21758102757713</v>
      </c>
      <c r="L178" s="187"/>
    </row>
    <row r="179" spans="1:13" x14ac:dyDescent="0.3">
      <c r="A179" s="36" t="s">
        <v>359</v>
      </c>
      <c r="B179" s="37"/>
      <c r="C179" s="327">
        <v>17.549960296548395</v>
      </c>
      <c r="D179" s="327">
        <v>17.59655805017016</v>
      </c>
      <c r="E179" s="327">
        <v>17.643127761995871</v>
      </c>
      <c r="F179" s="327">
        <v>17.714136950688786</v>
      </c>
      <c r="G179" s="327">
        <v>17.760960090246744</v>
      </c>
      <c r="H179" s="328">
        <v>17.807917830425968</v>
      </c>
      <c r="I179" s="160">
        <f t="shared" si="152"/>
        <v>17.678776830012652</v>
      </c>
      <c r="J179" s="160">
        <f t="shared" si="153"/>
        <v>106.07266098007591</v>
      </c>
      <c r="L179" s="187"/>
    </row>
    <row r="180" spans="1:13" x14ac:dyDescent="0.3">
      <c r="A180" s="36" t="s">
        <v>461</v>
      </c>
      <c r="B180" s="37"/>
      <c r="C180" s="327"/>
      <c r="D180" s="327"/>
      <c r="E180" s="327"/>
      <c r="F180" s="327"/>
      <c r="G180" s="327"/>
      <c r="H180" s="328"/>
      <c r="I180" s="160">
        <f t="shared" ref="I180" si="154">IFERROR(AVERAGE(C180:H180),0)</f>
        <v>0</v>
      </c>
      <c r="J180" s="160">
        <f t="shared" ref="J180" si="155">SUM(C180:H180)</f>
        <v>0</v>
      </c>
      <c r="L180" s="187"/>
    </row>
    <row r="181" spans="1:13" x14ac:dyDescent="0.3">
      <c r="A181" s="36" t="s">
        <v>332</v>
      </c>
      <c r="B181" s="37"/>
      <c r="C181" s="327"/>
      <c r="D181" s="327"/>
      <c r="E181" s="327"/>
      <c r="F181" s="327"/>
      <c r="G181" s="327"/>
      <c r="H181" s="328"/>
      <c r="I181" s="160">
        <f t="shared" si="152"/>
        <v>0</v>
      </c>
      <c r="J181" s="160">
        <f t="shared" si="153"/>
        <v>0</v>
      </c>
      <c r="L181" s="187"/>
    </row>
    <row r="182" spans="1:13" x14ac:dyDescent="0.3">
      <c r="A182" s="25" t="s">
        <v>463</v>
      </c>
      <c r="B182" s="37"/>
      <c r="C182" s="327"/>
      <c r="D182" s="327"/>
      <c r="E182" s="327"/>
      <c r="F182" s="327"/>
      <c r="G182" s="327"/>
      <c r="H182" s="328"/>
      <c r="I182" s="160">
        <f t="shared" ref="I182" si="156">IFERROR(AVERAGE(C182:H182),0)</f>
        <v>0</v>
      </c>
      <c r="J182" s="160">
        <f t="shared" ref="J182" si="157">SUM(C182:H182)</f>
        <v>0</v>
      </c>
      <c r="L182" s="187"/>
    </row>
    <row r="183" spans="1:13" x14ac:dyDescent="0.3">
      <c r="A183" s="36" t="s">
        <v>360</v>
      </c>
      <c r="B183" s="37"/>
      <c r="C183" s="327">
        <v>12.53567147149767</v>
      </c>
      <c r="D183" s="327">
        <v>12.5689555428484</v>
      </c>
      <c r="E183" s="327">
        <v>12.602219584367869</v>
      </c>
      <c r="F183" s="327">
        <v>12.652940374949205</v>
      </c>
      <c r="G183" s="327">
        <v>12.68638543606869</v>
      </c>
      <c r="H183" s="328">
        <v>12.719926640378224</v>
      </c>
      <c r="I183" s="332">
        <f t="shared" si="152"/>
        <v>12.627683175018342</v>
      </c>
      <c r="J183" s="160">
        <f t="shared" si="153"/>
        <v>75.766099050110057</v>
      </c>
      <c r="L183" s="187"/>
    </row>
    <row r="184" spans="1:13" x14ac:dyDescent="0.3">
      <c r="A184" s="342" t="s">
        <v>352</v>
      </c>
      <c r="B184" s="34"/>
      <c r="C184" s="339">
        <f>SUM(C177:C183)</f>
        <v>374.7885792349727</v>
      </c>
      <c r="D184" s="341">
        <f t="shared" ref="D184:H184" si="158">SUM(D177:D183)</f>
        <v>375.78369863013705</v>
      </c>
      <c r="E184" s="341">
        <f t="shared" si="158"/>
        <v>376.77821917808217</v>
      </c>
      <c r="F184" s="341">
        <f t="shared" si="158"/>
        <v>378.29465753424654</v>
      </c>
      <c r="G184" s="341">
        <f t="shared" si="158"/>
        <v>379.29459016393446</v>
      </c>
      <c r="H184" s="161">
        <f t="shared" si="158"/>
        <v>380.29739726027407</v>
      </c>
      <c r="I184" s="159">
        <f t="shared" si="152"/>
        <v>377.53952366694119</v>
      </c>
      <c r="J184" s="161">
        <f t="shared" si="153"/>
        <v>2265.237142001647</v>
      </c>
      <c r="L184" s="202"/>
      <c r="M184" s="31"/>
    </row>
    <row r="185" spans="1:13" x14ac:dyDescent="0.3">
      <c r="A185" s="49"/>
      <c r="B185" s="48"/>
      <c r="C185" s="238"/>
      <c r="D185" s="238"/>
      <c r="E185" s="238"/>
      <c r="F185" s="238"/>
      <c r="G185" s="238"/>
      <c r="H185" s="238"/>
      <c r="I185" s="2"/>
      <c r="J185" s="165"/>
      <c r="L185" s="2"/>
    </row>
    <row r="186" spans="1:13" x14ac:dyDescent="0.3">
      <c r="A186" s="42" t="s">
        <v>80</v>
      </c>
      <c r="B186" s="43"/>
      <c r="C186" s="44"/>
      <c r="D186" s="44"/>
      <c r="E186" s="44"/>
      <c r="F186" s="44"/>
      <c r="G186" s="44"/>
      <c r="H186" s="44"/>
      <c r="I186" s="44"/>
      <c r="J186" s="44"/>
    </row>
    <row r="187" spans="1:13" ht="13.9" customHeight="1" x14ac:dyDescent="0.3"/>
    <row r="188" spans="1:13" ht="26" x14ac:dyDescent="0.3">
      <c r="A188" s="693" t="s">
        <v>192</v>
      </c>
      <c r="B188" s="678"/>
      <c r="C188" s="3">
        <f>Annee</f>
        <v>2024</v>
      </c>
      <c r="D188" s="291">
        <f>C188+1</f>
        <v>2025</v>
      </c>
      <c r="E188" s="291">
        <f t="shared" ref="E188:G188" si="159">D188+1</f>
        <v>2026</v>
      </c>
      <c r="F188" s="291">
        <f t="shared" si="159"/>
        <v>2027</v>
      </c>
      <c r="G188" s="291">
        <f t="shared" si="159"/>
        <v>2028</v>
      </c>
      <c r="H188" s="295">
        <f>G188+1</f>
        <v>2029</v>
      </c>
      <c r="I188" s="179" t="s">
        <v>271</v>
      </c>
      <c r="J188" s="4" t="s">
        <v>62</v>
      </c>
      <c r="L188" s="185" t="s">
        <v>305</v>
      </c>
    </row>
    <row r="189" spans="1:13" ht="14.5" customHeight="1" x14ac:dyDescent="0.3">
      <c r="A189" s="692"/>
      <c r="B189" s="679"/>
      <c r="C189" s="77">
        <v>12</v>
      </c>
      <c r="D189" s="77">
        <v>12</v>
      </c>
      <c r="E189" s="77">
        <v>12</v>
      </c>
      <c r="F189" s="77">
        <v>12</v>
      </c>
      <c r="G189" s="77">
        <v>12</v>
      </c>
      <c r="H189" s="77">
        <v>12</v>
      </c>
      <c r="I189" s="78">
        <f t="shared" ref="I189:I197" si="160">IFERROR(AVERAGE(C189:H189),0)</f>
        <v>12</v>
      </c>
      <c r="J189" s="78">
        <f t="shared" ref="J189:J197" si="161">SUM(C189:H189)</f>
        <v>72</v>
      </c>
      <c r="L189" s="193"/>
    </row>
    <row r="190" spans="1:13" x14ac:dyDescent="0.3">
      <c r="A190" s="36" t="s">
        <v>357</v>
      </c>
      <c r="B190" s="37"/>
      <c r="C190" s="324">
        <v>13108185.800918886</v>
      </c>
      <c r="D190" s="324">
        <v>13196770.436283112</v>
      </c>
      <c r="E190" s="324">
        <v>13239655.669268917</v>
      </c>
      <c r="F190" s="324">
        <v>13346910.476573484</v>
      </c>
      <c r="G190" s="324">
        <v>13431360.667092595</v>
      </c>
      <c r="H190" s="324">
        <v>13519048.521459691</v>
      </c>
      <c r="I190" s="10">
        <f t="shared" si="160"/>
        <v>13306988.595266113</v>
      </c>
      <c r="J190" s="39">
        <f t="shared" si="161"/>
        <v>79841931.571596682</v>
      </c>
      <c r="L190" s="186"/>
    </row>
    <row r="191" spans="1:13" x14ac:dyDescent="0.3">
      <c r="A191" s="36" t="s">
        <v>358</v>
      </c>
      <c r="B191" s="37"/>
      <c r="C191" s="324">
        <v>4340004.8948439434</v>
      </c>
      <c r="D191" s="324">
        <v>4369334.4875829881</v>
      </c>
      <c r="E191" s="324">
        <v>4383533.4105996182</v>
      </c>
      <c r="F191" s="324">
        <v>4419044.5328683248</v>
      </c>
      <c r="G191" s="324">
        <v>4447005.2473249165</v>
      </c>
      <c r="H191" s="324">
        <v>4476037.9237724002</v>
      </c>
      <c r="I191" s="568">
        <f t="shared" si="160"/>
        <v>4405826.7494986989</v>
      </c>
      <c r="J191" s="39">
        <f t="shared" si="161"/>
        <v>26434960.496992193</v>
      </c>
      <c r="L191" s="187"/>
    </row>
    <row r="192" spans="1:13" x14ac:dyDescent="0.3">
      <c r="A192" s="36" t="s">
        <v>359</v>
      </c>
      <c r="B192" s="37"/>
      <c r="C192" s="324">
        <v>888344.75077014929</v>
      </c>
      <c r="D192" s="324">
        <v>894348.15177619446</v>
      </c>
      <c r="E192" s="324">
        <v>897254.49382742075</v>
      </c>
      <c r="F192" s="324">
        <v>904523.17665744247</v>
      </c>
      <c r="G192" s="324">
        <v>910246.3853904109</v>
      </c>
      <c r="H192" s="324">
        <v>916189.01134310744</v>
      </c>
      <c r="I192" s="568">
        <f t="shared" si="160"/>
        <v>901817.66162745422</v>
      </c>
      <c r="J192" s="39">
        <f t="shared" si="161"/>
        <v>5410905.9697647253</v>
      </c>
      <c r="L192" s="187"/>
    </row>
    <row r="193" spans="1:13" x14ac:dyDescent="0.3">
      <c r="A193" s="36" t="s">
        <v>461</v>
      </c>
      <c r="B193" s="37"/>
      <c r="C193" s="324"/>
      <c r="D193" s="324"/>
      <c r="E193" s="324"/>
      <c r="F193" s="324"/>
      <c r="G193" s="324"/>
      <c r="H193" s="324"/>
      <c r="I193" s="568">
        <f t="shared" ref="I193" si="162">IFERROR(AVERAGE(C193:H193),0)</f>
        <v>0</v>
      </c>
      <c r="J193" s="39">
        <f t="shared" ref="J193" si="163">SUM(C193:H193)</f>
        <v>0</v>
      </c>
      <c r="L193" s="187"/>
    </row>
    <row r="194" spans="1:13" x14ac:dyDescent="0.3">
      <c r="A194" s="36" t="s">
        <v>332</v>
      </c>
      <c r="B194" s="37"/>
      <c r="C194" s="324"/>
      <c r="D194" s="324"/>
      <c r="E194" s="324"/>
      <c r="F194" s="324"/>
      <c r="G194" s="324"/>
      <c r="H194" s="324"/>
      <c r="I194" s="568">
        <f t="shared" si="160"/>
        <v>0</v>
      </c>
      <c r="J194" s="39">
        <f t="shared" si="161"/>
        <v>0</v>
      </c>
      <c r="L194" s="187"/>
    </row>
    <row r="195" spans="1:13" x14ac:dyDescent="0.3">
      <c r="A195" s="25" t="s">
        <v>463</v>
      </c>
      <c r="B195" s="37"/>
      <c r="C195" s="324"/>
      <c r="D195" s="324"/>
      <c r="E195" s="324"/>
      <c r="F195" s="324"/>
      <c r="G195" s="324"/>
      <c r="H195" s="324"/>
      <c r="I195" s="568">
        <f t="shared" ref="I195" si="164">IFERROR(AVERAGE(C195:H195),0)</f>
        <v>0</v>
      </c>
      <c r="J195" s="39">
        <f t="shared" ref="J195" si="165">SUM(C195:H195)</f>
        <v>0</v>
      </c>
      <c r="L195" s="187"/>
    </row>
    <row r="196" spans="1:13" x14ac:dyDescent="0.3">
      <c r="A196" s="36" t="s">
        <v>360</v>
      </c>
      <c r="B196" s="37"/>
      <c r="C196" s="324">
        <v>634531.23317174788</v>
      </c>
      <c r="D196" s="324">
        <v>638819.37180293736</v>
      </c>
      <c r="E196" s="324">
        <v>640895.32801721641</v>
      </c>
      <c r="F196" s="324">
        <v>646087.23833769665</v>
      </c>
      <c r="G196" s="324">
        <v>650175.2398617462</v>
      </c>
      <c r="H196" s="324">
        <v>654419.96779059817</v>
      </c>
      <c r="I196" s="194">
        <f t="shared" si="160"/>
        <v>644154.72983032383</v>
      </c>
      <c r="J196" s="39">
        <f t="shared" si="161"/>
        <v>3864928.3789819428</v>
      </c>
      <c r="L196" s="187"/>
    </row>
    <row r="197" spans="1:13" x14ac:dyDescent="0.3">
      <c r="A197" s="342" t="s">
        <v>353</v>
      </c>
      <c r="B197" s="34"/>
      <c r="C197" s="339">
        <f>SUM(C190:C196)</f>
        <v>18971066.679704722</v>
      </c>
      <c r="D197" s="341">
        <f t="shared" ref="D197:H197" si="166">SUM(D190:D196)</f>
        <v>19099272.447445232</v>
      </c>
      <c r="E197" s="341">
        <f t="shared" si="166"/>
        <v>19161338.901713174</v>
      </c>
      <c r="F197" s="341">
        <f t="shared" si="166"/>
        <v>19316565.424436945</v>
      </c>
      <c r="G197" s="341">
        <f t="shared" si="166"/>
        <v>19438787.53966967</v>
      </c>
      <c r="H197" s="341">
        <f t="shared" si="166"/>
        <v>19565695.4243658</v>
      </c>
      <c r="I197" s="20">
        <f t="shared" si="160"/>
        <v>19258787.736222591</v>
      </c>
      <c r="J197" s="35">
        <f t="shared" si="161"/>
        <v>115552726.41733555</v>
      </c>
      <c r="L197" s="494" t="s">
        <v>446</v>
      </c>
      <c r="M197" s="31"/>
    </row>
    <row r="198" spans="1:13" x14ac:dyDescent="0.3">
      <c r="C198" s="2"/>
      <c r="D198" s="2"/>
      <c r="E198" s="2"/>
      <c r="F198" s="2"/>
      <c r="G198" s="2"/>
      <c r="H198" s="2"/>
    </row>
    <row r="199" spans="1:13" x14ac:dyDescent="0.3">
      <c r="C199" s="2"/>
      <c r="D199" s="2"/>
      <c r="E199" s="2"/>
      <c r="F199" s="2"/>
      <c r="G199" s="2"/>
      <c r="H199" s="2"/>
    </row>
    <row r="200" spans="1:13" x14ac:dyDescent="0.3">
      <c r="C200" s="2"/>
      <c r="D200" s="2"/>
      <c r="E200" s="2"/>
      <c r="F200" s="2"/>
      <c r="G200" s="2"/>
      <c r="H200" s="2"/>
      <c r="I200" s="163"/>
      <c r="K200" s="163"/>
      <c r="M200" s="163"/>
    </row>
    <row r="201" spans="1:13" x14ac:dyDescent="0.3">
      <c r="C201" s="2"/>
      <c r="D201" s="2"/>
      <c r="E201" s="2"/>
      <c r="F201" s="2"/>
      <c r="G201" s="2"/>
      <c r="H201" s="2"/>
    </row>
    <row r="202" spans="1:13" x14ac:dyDescent="0.3">
      <c r="C202" s="2"/>
      <c r="D202" s="2"/>
      <c r="E202" s="2"/>
      <c r="F202" s="2"/>
      <c r="G202" s="2"/>
      <c r="H202" s="2"/>
    </row>
    <row r="203" spans="1:13" x14ac:dyDescent="0.3">
      <c r="C203" s="2"/>
      <c r="D203" s="2"/>
      <c r="E203" s="2"/>
      <c r="F203" s="2"/>
      <c r="G203" s="2"/>
      <c r="H203" s="2"/>
    </row>
    <row r="204" spans="1:13" x14ac:dyDescent="0.3">
      <c r="C204" s="246"/>
      <c r="D204" s="2"/>
      <c r="E204" s="2"/>
      <c r="F204" s="2"/>
      <c r="G204" s="2"/>
      <c r="H204" s="2"/>
    </row>
    <row r="205" spans="1:13" x14ac:dyDescent="0.3">
      <c r="C205" s="2"/>
      <c r="D205" s="2"/>
      <c r="E205" s="2"/>
      <c r="F205" s="2"/>
      <c r="G205" s="2"/>
      <c r="H205" s="2"/>
    </row>
    <row r="206" spans="1:13" x14ac:dyDescent="0.3">
      <c r="C206" s="2"/>
      <c r="D206" s="2"/>
      <c r="E206" s="2"/>
      <c r="F206" s="2"/>
      <c r="G206" s="2"/>
      <c r="H206" s="2"/>
    </row>
    <row r="207" spans="1:13" x14ac:dyDescent="0.3">
      <c r="C207" s="2"/>
      <c r="D207" s="2"/>
      <c r="E207" s="2"/>
      <c r="F207" s="2"/>
      <c r="G207" s="2"/>
      <c r="H207" s="2"/>
    </row>
    <row r="208" spans="1:13" x14ac:dyDescent="0.3">
      <c r="C208" s="2"/>
      <c r="D208" s="2"/>
      <c r="E208" s="2"/>
      <c r="F208" s="2"/>
      <c r="G208" s="2"/>
      <c r="H208" s="2"/>
    </row>
    <row r="209" spans="3:8" x14ac:dyDescent="0.3">
      <c r="C209" s="2"/>
      <c r="D209" s="2"/>
      <c r="E209" s="2"/>
      <c r="F209" s="2"/>
      <c r="G209" s="2"/>
      <c r="H209" s="2"/>
    </row>
    <row r="210" spans="3:8" x14ac:dyDescent="0.3">
      <c r="C210" s="2"/>
      <c r="D210" s="2"/>
      <c r="E210" s="2"/>
      <c r="F210" s="2"/>
      <c r="G210" s="2"/>
      <c r="H210" s="2"/>
    </row>
    <row r="211" spans="3:8" x14ac:dyDescent="0.3">
      <c r="C211" s="2"/>
      <c r="D211" s="2"/>
      <c r="E211" s="2"/>
      <c r="F211" s="2"/>
      <c r="G211" s="2"/>
      <c r="H211" s="2"/>
    </row>
  </sheetData>
  <mergeCells count="19">
    <mergeCell ref="A165:A166"/>
    <mergeCell ref="B165:B166"/>
    <mergeCell ref="A175:A176"/>
    <mergeCell ref="B175:B176"/>
    <mergeCell ref="A188:A189"/>
    <mergeCell ref="B188:B189"/>
    <mergeCell ref="A53:A54"/>
    <mergeCell ref="B53:B54"/>
    <mergeCell ref="L53:L54"/>
    <mergeCell ref="A112:A113"/>
    <mergeCell ref="B112:B113"/>
    <mergeCell ref="L112:L113"/>
    <mergeCell ref="A1:J1"/>
    <mergeCell ref="A7:A8"/>
    <mergeCell ref="B7:B8"/>
    <mergeCell ref="L7:L8"/>
    <mergeCell ref="A38:A39"/>
    <mergeCell ref="B38:B39"/>
    <mergeCell ref="L38:L39"/>
  </mergeCells>
  <conditionalFormatting sqref="M9">
    <cfRule type="cellIs" dxfId="10" priority="3" operator="equal">
      <formula>FALSE</formula>
    </cfRule>
  </conditionalFormatting>
  <conditionalFormatting sqref="M18">
    <cfRule type="cellIs" dxfId="9" priority="2" operator="equal">
      <formula>FALSE</formula>
    </cfRule>
  </conditionalFormatting>
  <conditionalFormatting sqref="M27">
    <cfRule type="cellIs" dxfId="8" priority="1" operator="equal">
      <formula>FALSE</formula>
    </cfRule>
  </conditionalFormatting>
  <conditionalFormatting sqref="M36">
    <cfRule type="cellIs" dxfId="7" priority="10" operator="equal">
      <formula>FALSE</formula>
    </cfRule>
  </conditionalFormatting>
  <conditionalFormatting sqref="M48">
    <cfRule type="cellIs" dxfId="6" priority="9" operator="equal">
      <formula>FALSE</formula>
    </cfRule>
  </conditionalFormatting>
  <conditionalFormatting sqref="M109">
    <cfRule type="cellIs" dxfId="5" priority="8" operator="equal">
      <formula>FALSE</formula>
    </cfRule>
  </conditionalFormatting>
  <conditionalFormatting sqref="M149">
    <cfRule type="cellIs" dxfId="4" priority="7" operator="equal">
      <formula>FALSE</formula>
    </cfRule>
  </conditionalFormatting>
  <conditionalFormatting sqref="M173">
    <cfRule type="cellIs" dxfId="3" priority="4" operator="equal">
      <formula>FALSE</formula>
    </cfRule>
  </conditionalFormatting>
  <conditionalFormatting sqref="M184">
    <cfRule type="cellIs" dxfId="2" priority="5" operator="equal">
      <formula>FALSE</formula>
    </cfRule>
  </conditionalFormatting>
  <conditionalFormatting sqref="M197">
    <cfRule type="cellIs" dxfId="1" priority="6" operator="equal">
      <formula>FALSE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fitToHeight="4" orientation="landscape" r:id="rId1"/>
  <headerFooter>
    <oddHeader>&amp;L&amp;F&amp;R&amp;A</oddHeader>
    <oddFooter>&amp;L&amp;D&amp;C&amp;P/&amp;N&amp;R&amp;T</oddFooter>
  </headerFooter>
  <rowBreaks count="3" manualBreakCount="3">
    <brk id="49" max="10" man="1"/>
    <brk id="110" max="16383" man="1"/>
    <brk id="150" max="16383" man="1"/>
  </rowBreaks>
  <ignoredErrors>
    <ignoredError sqref="C197:H197 C184:H189" formulaRange="1"/>
    <ignoredError sqref="J1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  <pageSetUpPr fitToPage="1"/>
  </sheetPr>
  <dimension ref="A1:S71"/>
  <sheetViews>
    <sheetView showGridLines="0" zoomScale="85" zoomScaleNormal="85" workbookViewId="0">
      <selection sqref="A1:N1"/>
    </sheetView>
  </sheetViews>
  <sheetFormatPr baseColWidth="10" defaultColWidth="11.26953125" defaultRowHeight="13" x14ac:dyDescent="0.3"/>
  <cols>
    <col min="1" max="1" width="34.7265625" style="2" customWidth="1"/>
    <col min="2" max="2" width="11" style="17" customWidth="1"/>
    <col min="3" max="9" width="11" style="28" customWidth="1"/>
    <col min="10" max="10" width="6.7265625" style="28" customWidth="1"/>
    <col min="11" max="14" width="11" style="28" customWidth="1"/>
    <col min="15" max="15" width="6.7265625" style="28" customWidth="1"/>
    <col min="16" max="16" width="27.453125" style="28" bestFit="1" customWidth="1"/>
    <col min="17" max="17" width="6.7265625" style="28" customWidth="1"/>
    <col min="18" max="16384" width="11.26953125" style="2"/>
  </cols>
  <sheetData>
    <row r="1" spans="1:19" ht="16.75" customHeight="1" x14ac:dyDescent="0.3">
      <c r="A1" s="700" t="s">
        <v>115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90"/>
      <c r="R1" s="1"/>
    </row>
    <row r="3" spans="1:19" x14ac:dyDescent="0.3">
      <c r="A3" s="42" t="s">
        <v>74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5" spans="1:19" ht="26" x14ac:dyDescent="0.3">
      <c r="A5" s="668" t="s">
        <v>173</v>
      </c>
      <c r="B5" s="80"/>
      <c r="C5" s="3">
        <v>2017</v>
      </c>
      <c r="D5" s="3">
        <v>2018</v>
      </c>
      <c r="E5" s="3">
        <v>2019</v>
      </c>
      <c r="F5" s="3">
        <v>2020</v>
      </c>
      <c r="G5" s="3">
        <v>2021</v>
      </c>
      <c r="H5" s="3">
        <v>2022</v>
      </c>
      <c r="I5" s="3">
        <v>2023</v>
      </c>
      <c r="K5" s="179" t="s">
        <v>295</v>
      </c>
      <c r="L5" s="179" t="s">
        <v>296</v>
      </c>
      <c r="M5" s="179" t="s">
        <v>271</v>
      </c>
      <c r="N5" s="4" t="s">
        <v>62</v>
      </c>
      <c r="P5" s="683" t="s">
        <v>305</v>
      </c>
      <c r="R5" s="31"/>
      <c r="S5" s="31"/>
    </row>
    <row r="6" spans="1:19" x14ac:dyDescent="0.3">
      <c r="A6" s="701"/>
      <c r="B6" s="81"/>
      <c r="C6" s="77">
        <v>12</v>
      </c>
      <c r="D6" s="77">
        <v>12</v>
      </c>
      <c r="E6" s="77">
        <v>12</v>
      </c>
      <c r="F6" s="77">
        <v>12</v>
      </c>
      <c r="G6" s="77">
        <v>12</v>
      </c>
      <c r="H6" s="77">
        <v>12</v>
      </c>
      <c r="I6" s="77">
        <v>12</v>
      </c>
      <c r="K6" s="78">
        <v>12</v>
      </c>
      <c r="L6" s="78">
        <v>12</v>
      </c>
      <c r="M6" s="78">
        <v>12</v>
      </c>
      <c r="N6" s="78">
        <f>SUM(C6:I6)</f>
        <v>84</v>
      </c>
      <c r="P6" s="684"/>
    </row>
    <row r="7" spans="1:19" x14ac:dyDescent="0.3">
      <c r="A7" s="83" t="s">
        <v>110</v>
      </c>
      <c r="B7" s="86"/>
      <c r="C7" s="258">
        <v>132122.6704</v>
      </c>
      <c r="D7" s="258">
        <v>124489.14</v>
      </c>
      <c r="E7" s="258">
        <v>124489.14</v>
      </c>
      <c r="F7" s="258">
        <v>124489.14</v>
      </c>
      <c r="G7" s="258">
        <v>124489.14</v>
      </c>
      <c r="H7" s="258">
        <v>124489.14</v>
      </c>
      <c r="I7" s="258">
        <v>124489.14</v>
      </c>
      <c r="K7" s="10">
        <f>IFERROR(AVERAGE(C7:D7),"")</f>
        <v>128305.90520000001</v>
      </c>
      <c r="L7" s="10">
        <f t="shared" ref="L7" si="0">IFERROR(AVERAGE(E7:I7),"")</f>
        <v>124489.13999999998</v>
      </c>
      <c r="M7" s="10">
        <f t="shared" ref="M7" si="1">IFERROR(AVERAGE(C7:I7),"")</f>
        <v>125579.64434285715</v>
      </c>
      <c r="N7" s="10">
        <f>SUM(C7:I7)</f>
        <v>879057.51040000003</v>
      </c>
      <c r="P7" s="186"/>
    </row>
    <row r="8" spans="1:19" x14ac:dyDescent="0.3">
      <c r="A8" s="84" t="s">
        <v>111</v>
      </c>
      <c r="B8" s="87"/>
      <c r="C8" s="175"/>
      <c r="D8" s="175"/>
      <c r="E8" s="175"/>
      <c r="F8" s="175"/>
      <c r="G8" s="175"/>
      <c r="H8" s="175"/>
      <c r="I8" s="175"/>
      <c r="K8" s="14" t="str">
        <f t="shared" ref="K8:K9" si="2">IFERROR(AVERAGE(C8:D8),"")</f>
        <v/>
      </c>
      <c r="L8" s="14" t="str">
        <f t="shared" ref="L8:L9" si="3">IFERROR(AVERAGE(E8:I8),"")</f>
        <v/>
      </c>
      <c r="M8" s="14" t="str">
        <f t="shared" ref="M8:M9" si="4">IFERROR(AVERAGE(C8:I8),"")</f>
        <v/>
      </c>
      <c r="N8" s="14">
        <f t="shared" ref="N8:N9" si="5">SUM(C8:I8)</f>
        <v>0</v>
      </c>
      <c r="P8" s="187"/>
    </row>
    <row r="9" spans="1:19" x14ac:dyDescent="0.3">
      <c r="A9" s="85" t="s">
        <v>112</v>
      </c>
      <c r="B9" s="88"/>
      <c r="C9" s="176"/>
      <c r="D9" s="176"/>
      <c r="E9" s="176"/>
      <c r="F9" s="176"/>
      <c r="G9" s="176"/>
      <c r="H9" s="176"/>
      <c r="I9" s="176"/>
      <c r="K9" s="14" t="str">
        <f t="shared" si="2"/>
        <v/>
      </c>
      <c r="L9" s="14" t="str">
        <f t="shared" si="3"/>
        <v/>
      </c>
      <c r="M9" s="14" t="str">
        <f t="shared" si="4"/>
        <v/>
      </c>
      <c r="N9" s="14">
        <f t="shared" si="5"/>
        <v>0</v>
      </c>
      <c r="P9" s="202"/>
    </row>
    <row r="10" spans="1:19" ht="14.5" x14ac:dyDescent="0.35">
      <c r="A10" s="82" t="s">
        <v>8</v>
      </c>
      <c r="B10" s="20"/>
      <c r="C10" s="20">
        <f>SUM(C7:C9)</f>
        <v>132122.6704</v>
      </c>
      <c r="D10" s="20">
        <f t="shared" ref="D10:M10" si="6">SUM(D7:D9)</f>
        <v>124489.14</v>
      </c>
      <c r="E10" s="20">
        <f t="shared" si="6"/>
        <v>124489.14</v>
      </c>
      <c r="F10" s="20">
        <f t="shared" si="6"/>
        <v>124489.14</v>
      </c>
      <c r="G10" s="20">
        <f t="shared" si="6"/>
        <v>124489.14</v>
      </c>
      <c r="H10" s="20">
        <f t="shared" si="6"/>
        <v>124489.14</v>
      </c>
      <c r="I10" s="20">
        <f t="shared" si="6"/>
        <v>124489.14</v>
      </c>
      <c r="K10" s="20">
        <f t="shared" si="6"/>
        <v>128305.90520000001</v>
      </c>
      <c r="L10" s="20">
        <f t="shared" si="6"/>
        <v>124489.13999999998</v>
      </c>
      <c r="M10" s="20">
        <f t="shared" si="6"/>
        <v>125579.64434285715</v>
      </c>
      <c r="N10" s="20">
        <f>SUM(N7:N9)</f>
        <v>879057.51040000003</v>
      </c>
      <c r="P10" s="227"/>
    </row>
    <row r="11" spans="1:19" ht="14.5" x14ac:dyDescent="0.35">
      <c r="P11"/>
    </row>
    <row r="12" spans="1:19" ht="14.5" x14ac:dyDescent="0.35">
      <c r="P12"/>
    </row>
    <row r="13" spans="1:19" ht="26" x14ac:dyDescent="0.3">
      <c r="A13" s="668" t="s">
        <v>78</v>
      </c>
      <c r="B13" s="80"/>
      <c r="C13" s="3">
        <v>2017</v>
      </c>
      <c r="D13" s="3">
        <v>2018</v>
      </c>
      <c r="E13" s="3">
        <v>2019</v>
      </c>
      <c r="F13" s="3">
        <v>2020</v>
      </c>
      <c r="G13" s="3">
        <v>2021</v>
      </c>
      <c r="H13" s="3">
        <v>2022</v>
      </c>
      <c r="I13" s="3">
        <v>2023</v>
      </c>
      <c r="K13" s="179" t="s">
        <v>295</v>
      </c>
      <c r="L13" s="179" t="s">
        <v>296</v>
      </c>
      <c r="M13" s="179" t="s">
        <v>271</v>
      </c>
      <c r="N13" s="4" t="s">
        <v>62</v>
      </c>
      <c r="P13" s="685" t="s">
        <v>305</v>
      </c>
      <c r="R13" s="31"/>
      <c r="S13" s="31"/>
    </row>
    <row r="14" spans="1:19" x14ac:dyDescent="0.3">
      <c r="A14" s="669"/>
      <c r="B14" s="81"/>
      <c r="C14" s="77">
        <v>12</v>
      </c>
      <c r="D14" s="77">
        <v>12</v>
      </c>
      <c r="E14" s="77">
        <v>12</v>
      </c>
      <c r="F14" s="77">
        <v>12</v>
      </c>
      <c r="G14" s="77">
        <v>12</v>
      </c>
      <c r="H14" s="77">
        <v>12</v>
      </c>
      <c r="I14" s="77">
        <v>12</v>
      </c>
      <c r="K14" s="78">
        <v>12</v>
      </c>
      <c r="L14" s="78">
        <v>12</v>
      </c>
      <c r="M14" s="78">
        <v>12</v>
      </c>
      <c r="N14" s="78">
        <f>SUM(C14:I14)</f>
        <v>84</v>
      </c>
      <c r="P14" s="685"/>
    </row>
    <row r="15" spans="1:19" s="5" customFormat="1" x14ac:dyDescent="0.3">
      <c r="A15" s="65" t="s">
        <v>21</v>
      </c>
      <c r="B15" s="70"/>
      <c r="C15" s="73">
        <f>SUM(C16:C20)</f>
        <v>0</v>
      </c>
      <c r="D15" s="73">
        <f>SUM(D16:D20)</f>
        <v>0</v>
      </c>
      <c r="E15" s="73">
        <f t="shared" ref="E15:I15" si="7">SUM(E16:E20)</f>
        <v>0</v>
      </c>
      <c r="F15" s="73">
        <f t="shared" si="7"/>
        <v>0</v>
      </c>
      <c r="G15" s="73">
        <f t="shared" si="7"/>
        <v>0</v>
      </c>
      <c r="H15" s="73">
        <f t="shared" si="7"/>
        <v>0</v>
      </c>
      <c r="I15" s="73">
        <f t="shared" si="7"/>
        <v>0</v>
      </c>
      <c r="J15" s="28"/>
      <c r="K15" s="214">
        <f>IFERROR(AVERAGE(C15:D15),"")</f>
        <v>0</v>
      </c>
      <c r="L15" s="214">
        <f t="shared" ref="L15:L16" si="8">IFERROR(AVERAGE(E15:I15),"")</f>
        <v>0</v>
      </c>
      <c r="M15" s="214">
        <f t="shared" ref="M15:M16" si="9">IFERROR(AVERAGE(C15:I15),"")</f>
        <v>0</v>
      </c>
      <c r="N15" s="214">
        <f>SUM(N16:N20)</f>
        <v>0</v>
      </c>
      <c r="O15" s="28"/>
      <c r="P15" s="187"/>
      <c r="Q15" s="28"/>
    </row>
    <row r="16" spans="1:19" x14ac:dyDescent="0.3">
      <c r="A16" s="30" t="s">
        <v>16</v>
      </c>
      <c r="B16" s="71"/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K16" s="14">
        <f t="shared" ref="K16" si="10">IFERROR(AVERAGE(C16:D16),"")</f>
        <v>0</v>
      </c>
      <c r="L16" s="14">
        <f t="shared" si="8"/>
        <v>0</v>
      </c>
      <c r="M16" s="14">
        <f t="shared" si="9"/>
        <v>0</v>
      </c>
      <c r="N16" s="14">
        <f t="shared" ref="N16:N20" si="11">SUM(C16:I16)</f>
        <v>0</v>
      </c>
      <c r="P16" s="186"/>
    </row>
    <row r="17" spans="1:17" x14ac:dyDescent="0.3">
      <c r="A17" s="30" t="s">
        <v>16</v>
      </c>
      <c r="B17" s="71"/>
      <c r="C17" s="69"/>
      <c r="D17" s="69"/>
      <c r="E17" s="69"/>
      <c r="F17" s="69"/>
      <c r="G17" s="69"/>
      <c r="H17" s="69"/>
      <c r="I17" s="69"/>
      <c r="K17" s="14"/>
      <c r="L17" s="14"/>
      <c r="M17" s="14"/>
      <c r="N17" s="14">
        <f t="shared" si="11"/>
        <v>0</v>
      </c>
      <c r="P17" s="187"/>
    </row>
    <row r="18" spans="1:17" x14ac:dyDescent="0.3">
      <c r="A18" s="30" t="s">
        <v>16</v>
      </c>
      <c r="B18" s="71"/>
      <c r="C18" s="69"/>
      <c r="D18" s="69"/>
      <c r="E18" s="69"/>
      <c r="F18" s="69"/>
      <c r="G18" s="69"/>
      <c r="H18" s="69"/>
      <c r="I18" s="69"/>
      <c r="K18" s="14"/>
      <c r="L18" s="14"/>
      <c r="M18" s="14"/>
      <c r="N18" s="14">
        <f t="shared" si="11"/>
        <v>0</v>
      </c>
      <c r="P18" s="187"/>
    </row>
    <row r="19" spans="1:17" x14ac:dyDescent="0.3">
      <c r="A19" s="30" t="s">
        <v>16</v>
      </c>
      <c r="B19" s="71"/>
      <c r="C19" s="69"/>
      <c r="D19" s="69"/>
      <c r="E19" s="69"/>
      <c r="F19" s="69"/>
      <c r="G19" s="69"/>
      <c r="H19" s="69"/>
      <c r="I19" s="69"/>
      <c r="K19" s="206"/>
      <c r="L19" s="14"/>
      <c r="M19" s="205"/>
      <c r="N19" s="14">
        <f t="shared" si="11"/>
        <v>0</v>
      </c>
      <c r="P19" s="187"/>
    </row>
    <row r="20" spans="1:17" x14ac:dyDescent="0.3">
      <c r="A20" s="30" t="s">
        <v>16</v>
      </c>
      <c r="B20" s="71"/>
      <c r="C20" s="69"/>
      <c r="D20" s="69"/>
      <c r="E20" s="69"/>
      <c r="F20" s="69"/>
      <c r="G20" s="69"/>
      <c r="H20" s="69"/>
      <c r="I20" s="69"/>
      <c r="K20" s="206"/>
      <c r="L20" s="14"/>
      <c r="M20" s="205"/>
      <c r="N20" s="205">
        <f t="shared" si="11"/>
        <v>0</v>
      </c>
      <c r="P20" s="187"/>
    </row>
    <row r="21" spans="1:17" s="5" customFormat="1" x14ac:dyDescent="0.3">
      <c r="A21" s="65" t="s">
        <v>58</v>
      </c>
      <c r="B21" s="72"/>
      <c r="C21" s="74">
        <f t="shared" ref="C21" si="12">SUM(C22:C26)</f>
        <v>145279.5016223944</v>
      </c>
      <c r="D21" s="74">
        <f t="shared" ref="D21:N21" si="13">SUM(D22:D26)</f>
        <v>146330.55950670154</v>
      </c>
      <c r="E21" s="74">
        <f t="shared" si="13"/>
        <v>147231.0593300513</v>
      </c>
      <c r="F21" s="74">
        <f t="shared" si="13"/>
        <v>148462.36813893905</v>
      </c>
      <c r="G21" s="74">
        <f t="shared" si="13"/>
        <v>149302.83437629818</v>
      </c>
      <c r="H21" s="74">
        <f t="shared" si="13"/>
        <v>151229.88878271455</v>
      </c>
      <c r="I21" s="74">
        <f>SUM(I22:I26)</f>
        <v>152488.8330695339</v>
      </c>
      <c r="J21" s="28"/>
      <c r="K21" s="225">
        <f>IFERROR(AVERAGE(C21:D21),"")</f>
        <v>145805.03056454798</v>
      </c>
      <c r="L21" s="215">
        <f t="shared" ref="L21:L22" si="14">IFERROR(AVERAGE(E21:I21),"")</f>
        <v>149742.99673950739</v>
      </c>
      <c r="M21" s="203">
        <f t="shared" ref="M21:M22" si="15">IFERROR(AVERAGE(C21:I21),"")</f>
        <v>148617.86354666186</v>
      </c>
      <c r="N21" s="203">
        <f t="shared" si="13"/>
        <v>1040325.0448266329</v>
      </c>
      <c r="O21" s="28"/>
      <c r="P21" s="187"/>
      <c r="Q21" s="28"/>
    </row>
    <row r="22" spans="1:17" x14ac:dyDescent="0.3">
      <c r="A22" s="30" t="s">
        <v>16</v>
      </c>
      <c r="B22" s="71"/>
      <c r="C22" s="259">
        <v>145279.5016223944</v>
      </c>
      <c r="D22" s="259">
        <v>146330.55950670154</v>
      </c>
      <c r="E22" s="259">
        <v>147231.0593300513</v>
      </c>
      <c r="F22" s="259">
        <v>148462.36813893905</v>
      </c>
      <c r="G22" s="259">
        <v>149302.83437629818</v>
      </c>
      <c r="H22" s="259">
        <v>151229.88878271455</v>
      </c>
      <c r="I22" s="259">
        <v>152488.8330695339</v>
      </c>
      <c r="K22" s="206">
        <f t="shared" ref="K22" si="16">IFERROR(AVERAGE(C22:D22),"")</f>
        <v>145805.03056454798</v>
      </c>
      <c r="L22" s="14">
        <f t="shared" si="14"/>
        <v>149742.99673950739</v>
      </c>
      <c r="M22" s="205">
        <f t="shared" si="15"/>
        <v>148617.86354666186</v>
      </c>
      <c r="N22" s="205">
        <f t="shared" ref="N22:N26" si="17">SUM(C22:I22)</f>
        <v>1040325.0448266329</v>
      </c>
      <c r="P22" s="187"/>
    </row>
    <row r="23" spans="1:17" x14ac:dyDescent="0.3">
      <c r="A23" s="30" t="s">
        <v>16</v>
      </c>
      <c r="B23" s="71"/>
      <c r="C23" s="69"/>
      <c r="D23" s="69"/>
      <c r="E23" s="69"/>
      <c r="F23" s="69"/>
      <c r="G23" s="69"/>
      <c r="H23" s="69"/>
      <c r="I23" s="69"/>
      <c r="K23" s="206"/>
      <c r="L23" s="14"/>
      <c r="M23" s="205"/>
      <c r="N23" s="205">
        <f t="shared" si="17"/>
        <v>0</v>
      </c>
      <c r="P23" s="187"/>
    </row>
    <row r="24" spans="1:17" x14ac:dyDescent="0.3">
      <c r="A24" s="30" t="s">
        <v>16</v>
      </c>
      <c r="B24" s="71"/>
      <c r="C24" s="69"/>
      <c r="D24" s="69"/>
      <c r="E24" s="69"/>
      <c r="F24" s="69"/>
      <c r="G24" s="69"/>
      <c r="H24" s="69"/>
      <c r="I24" s="69"/>
      <c r="K24" s="206"/>
      <c r="L24" s="14"/>
      <c r="M24" s="205"/>
      <c r="N24" s="205">
        <f t="shared" si="17"/>
        <v>0</v>
      </c>
      <c r="P24" s="187"/>
    </row>
    <row r="25" spans="1:17" x14ac:dyDescent="0.3">
      <c r="A25" s="30" t="s">
        <v>16</v>
      </c>
      <c r="B25" s="71"/>
      <c r="C25" s="69"/>
      <c r="D25" s="69"/>
      <c r="E25" s="69"/>
      <c r="F25" s="69"/>
      <c r="G25" s="69"/>
      <c r="H25" s="69"/>
      <c r="I25" s="69"/>
      <c r="K25" s="206"/>
      <c r="L25" s="14"/>
      <c r="M25" s="205"/>
      <c r="N25" s="205">
        <f t="shared" si="17"/>
        <v>0</v>
      </c>
      <c r="P25" s="187"/>
    </row>
    <row r="26" spans="1:17" x14ac:dyDescent="0.3">
      <c r="A26" s="30" t="s">
        <v>16</v>
      </c>
      <c r="B26" s="71"/>
      <c r="C26" s="69"/>
      <c r="D26" s="69"/>
      <c r="E26" s="69"/>
      <c r="F26" s="69"/>
      <c r="G26" s="69"/>
      <c r="H26" s="69"/>
      <c r="I26" s="69"/>
      <c r="K26" s="206"/>
      <c r="L26" s="14"/>
      <c r="M26" s="205"/>
      <c r="N26" s="205">
        <f t="shared" si="17"/>
        <v>0</v>
      </c>
      <c r="P26" s="187"/>
    </row>
    <row r="27" spans="1:17" s="5" customFormat="1" x14ac:dyDescent="0.3">
      <c r="A27" s="65" t="s">
        <v>59</v>
      </c>
      <c r="B27" s="72"/>
      <c r="C27" s="74">
        <f t="shared" ref="C27" si="18">SUM(C28:C32)</f>
        <v>0</v>
      </c>
      <c r="D27" s="74">
        <f t="shared" ref="D27:N27" si="19">SUM(D28:D32)</f>
        <v>0</v>
      </c>
      <c r="E27" s="74">
        <f t="shared" si="19"/>
        <v>0</v>
      </c>
      <c r="F27" s="74">
        <f t="shared" si="19"/>
        <v>0</v>
      </c>
      <c r="G27" s="74">
        <f t="shared" si="19"/>
        <v>0</v>
      </c>
      <c r="H27" s="74">
        <f t="shared" si="19"/>
        <v>0</v>
      </c>
      <c r="I27" s="74">
        <f>SUM(I28:I32)</f>
        <v>0</v>
      </c>
      <c r="J27" s="28"/>
      <c r="K27" s="225">
        <f>IFERROR(AVERAGE(C27:D27),"")</f>
        <v>0</v>
      </c>
      <c r="L27" s="215">
        <f t="shared" ref="L27:L28" si="20">IFERROR(AVERAGE(E27:I27),"")</f>
        <v>0</v>
      </c>
      <c r="M27" s="203">
        <f t="shared" ref="M27:M28" si="21">IFERROR(AVERAGE(C27:I27),"")</f>
        <v>0</v>
      </c>
      <c r="N27" s="203">
        <f t="shared" si="19"/>
        <v>0</v>
      </c>
      <c r="O27" s="28"/>
      <c r="P27" s="187"/>
      <c r="Q27" s="28"/>
    </row>
    <row r="28" spans="1:17" x14ac:dyDescent="0.3">
      <c r="A28" s="30" t="s">
        <v>16</v>
      </c>
      <c r="B28" s="71"/>
      <c r="C28" s="69"/>
      <c r="D28" s="69"/>
      <c r="E28" s="69"/>
      <c r="F28" s="69"/>
      <c r="G28" s="69"/>
      <c r="H28" s="69"/>
      <c r="I28" s="69"/>
      <c r="K28" s="206" t="str">
        <f t="shared" ref="K28" si="22">IFERROR(AVERAGE(C28:D28),"")</f>
        <v/>
      </c>
      <c r="L28" s="14" t="str">
        <f t="shared" si="20"/>
        <v/>
      </c>
      <c r="M28" s="205" t="str">
        <f t="shared" si="21"/>
        <v/>
      </c>
      <c r="N28" s="205">
        <f t="shared" ref="N28:N32" si="23">SUM(C28:I28)</f>
        <v>0</v>
      </c>
      <c r="P28" s="187"/>
    </row>
    <row r="29" spans="1:17" x14ac:dyDescent="0.3">
      <c r="A29" s="30" t="s">
        <v>16</v>
      </c>
      <c r="B29" s="71"/>
      <c r="C29" s="69"/>
      <c r="D29" s="69"/>
      <c r="E29" s="69"/>
      <c r="F29" s="69"/>
      <c r="G29" s="69"/>
      <c r="H29" s="69"/>
      <c r="I29" s="69"/>
      <c r="K29" s="206"/>
      <c r="L29" s="14"/>
      <c r="M29" s="205"/>
      <c r="N29" s="205">
        <f t="shared" si="23"/>
        <v>0</v>
      </c>
      <c r="P29" s="187"/>
    </row>
    <row r="30" spans="1:17" x14ac:dyDescent="0.3">
      <c r="A30" s="30" t="s">
        <v>16</v>
      </c>
      <c r="B30" s="71"/>
      <c r="C30" s="69"/>
      <c r="D30" s="69"/>
      <c r="E30" s="69"/>
      <c r="F30" s="69"/>
      <c r="G30" s="69"/>
      <c r="H30" s="69"/>
      <c r="I30" s="69"/>
      <c r="K30" s="206"/>
      <c r="L30" s="14"/>
      <c r="M30" s="205"/>
      <c r="N30" s="205">
        <f t="shared" si="23"/>
        <v>0</v>
      </c>
      <c r="P30" s="187"/>
    </row>
    <row r="31" spans="1:17" x14ac:dyDescent="0.3">
      <c r="A31" s="30" t="s">
        <v>16</v>
      </c>
      <c r="B31" s="71"/>
      <c r="C31" s="69"/>
      <c r="D31" s="69"/>
      <c r="E31" s="69"/>
      <c r="F31" s="69"/>
      <c r="G31" s="69"/>
      <c r="H31" s="69"/>
      <c r="I31" s="69"/>
      <c r="K31" s="206"/>
      <c r="L31" s="14"/>
      <c r="M31" s="205"/>
      <c r="N31" s="205">
        <f t="shared" si="23"/>
        <v>0</v>
      </c>
      <c r="P31" s="187"/>
    </row>
    <row r="32" spans="1:17" x14ac:dyDescent="0.3">
      <c r="A32" s="30" t="s">
        <v>16</v>
      </c>
      <c r="B32" s="71"/>
      <c r="C32" s="69"/>
      <c r="D32" s="69"/>
      <c r="E32" s="69"/>
      <c r="F32" s="69"/>
      <c r="G32" s="69"/>
      <c r="H32" s="69"/>
      <c r="I32" s="69"/>
      <c r="K32" s="206"/>
      <c r="L32" s="14"/>
      <c r="M32" s="205"/>
      <c r="N32" s="205">
        <f t="shared" si="23"/>
        <v>0</v>
      </c>
      <c r="P32" s="187"/>
    </row>
    <row r="33" spans="1:19" x14ac:dyDescent="0.3">
      <c r="A33" s="65" t="s">
        <v>60</v>
      </c>
      <c r="B33" s="71"/>
      <c r="C33" s="74">
        <f t="shared" ref="C33" si="24">SUM(C34:C38)</f>
        <v>0</v>
      </c>
      <c r="D33" s="74">
        <f t="shared" ref="D33:H33" si="25">SUM(D34:D38)</f>
        <v>0</v>
      </c>
      <c r="E33" s="74">
        <f t="shared" si="25"/>
        <v>0</v>
      </c>
      <c r="F33" s="74">
        <f t="shared" si="25"/>
        <v>0</v>
      </c>
      <c r="G33" s="74">
        <f t="shared" si="25"/>
        <v>0</v>
      </c>
      <c r="H33" s="74">
        <f t="shared" si="25"/>
        <v>0</v>
      </c>
      <c r="I33" s="74">
        <f>SUM(I34:I38)</f>
        <v>0</v>
      </c>
      <c r="K33" s="225">
        <f>IFERROR(AVERAGE(C33:D33),"")</f>
        <v>0</v>
      </c>
      <c r="L33" s="215">
        <f t="shared" ref="L33:L34" si="26">IFERROR(AVERAGE(E33:I33),"")</f>
        <v>0</v>
      </c>
      <c r="M33" s="203">
        <f t="shared" ref="M33:M34" si="27">IFERROR(AVERAGE(C33:I33),"")</f>
        <v>0</v>
      </c>
      <c r="N33" s="203">
        <f>SUM(N34:N38)</f>
        <v>0</v>
      </c>
      <c r="P33" s="187"/>
    </row>
    <row r="34" spans="1:19" x14ac:dyDescent="0.3">
      <c r="A34" s="30" t="s">
        <v>16</v>
      </c>
      <c r="B34" s="71"/>
      <c r="C34" s="69"/>
      <c r="D34" s="69"/>
      <c r="E34" s="69"/>
      <c r="F34" s="69"/>
      <c r="G34" s="69"/>
      <c r="H34" s="69"/>
      <c r="I34" s="69"/>
      <c r="K34" s="206" t="str">
        <f t="shared" ref="K34" si="28">IFERROR(AVERAGE(C34:D34),"")</f>
        <v/>
      </c>
      <c r="L34" s="14" t="str">
        <f t="shared" si="26"/>
        <v/>
      </c>
      <c r="M34" s="205" t="str">
        <f t="shared" si="27"/>
        <v/>
      </c>
      <c r="N34" s="205">
        <f t="shared" ref="N34:N37" si="29">SUM(C34:I34)</f>
        <v>0</v>
      </c>
      <c r="P34" s="187"/>
    </row>
    <row r="35" spans="1:19" x14ac:dyDescent="0.3">
      <c r="A35" s="30" t="s">
        <v>16</v>
      </c>
      <c r="B35" s="71"/>
      <c r="C35" s="69"/>
      <c r="D35" s="69"/>
      <c r="E35" s="69"/>
      <c r="F35" s="69"/>
      <c r="G35" s="69"/>
      <c r="H35" s="69"/>
      <c r="I35" s="69"/>
      <c r="K35" s="206"/>
      <c r="L35" s="14"/>
      <c r="M35" s="205"/>
      <c r="N35" s="14">
        <f>SUM(C35:I35)</f>
        <v>0</v>
      </c>
      <c r="P35" s="187"/>
    </row>
    <row r="36" spans="1:19" x14ac:dyDescent="0.3">
      <c r="A36" s="30" t="s">
        <v>16</v>
      </c>
      <c r="B36" s="71"/>
      <c r="C36" s="69"/>
      <c r="D36" s="69"/>
      <c r="E36" s="69"/>
      <c r="F36" s="69"/>
      <c r="G36" s="69"/>
      <c r="H36" s="69"/>
      <c r="I36" s="69"/>
      <c r="K36" s="14"/>
      <c r="L36" s="14"/>
      <c r="M36" s="14"/>
      <c r="N36" s="14">
        <f t="shared" si="29"/>
        <v>0</v>
      </c>
      <c r="P36" s="187"/>
    </row>
    <row r="37" spans="1:19" x14ac:dyDescent="0.3">
      <c r="A37" s="30" t="s">
        <v>16</v>
      </c>
      <c r="B37" s="71"/>
      <c r="C37" s="69"/>
      <c r="D37" s="69"/>
      <c r="E37" s="69"/>
      <c r="F37" s="69"/>
      <c r="G37" s="69"/>
      <c r="H37" s="69"/>
      <c r="I37" s="69"/>
      <c r="K37" s="14"/>
      <c r="L37" s="14"/>
      <c r="M37" s="14"/>
      <c r="N37" s="14">
        <f t="shared" si="29"/>
        <v>0</v>
      </c>
      <c r="P37" s="187"/>
    </row>
    <row r="38" spans="1:19" x14ac:dyDescent="0.3">
      <c r="A38" s="30" t="s">
        <v>16</v>
      </c>
      <c r="B38" s="71"/>
      <c r="C38" s="69"/>
      <c r="D38" s="69"/>
      <c r="E38" s="69"/>
      <c r="F38" s="69"/>
      <c r="G38" s="69"/>
      <c r="H38" s="69"/>
      <c r="I38" s="69"/>
      <c r="K38" s="14"/>
      <c r="L38" s="14"/>
      <c r="M38" s="14"/>
      <c r="N38" s="14">
        <f>SUM(C38:I38)</f>
        <v>0</v>
      </c>
      <c r="P38" s="187"/>
    </row>
    <row r="39" spans="1:19" x14ac:dyDescent="0.3">
      <c r="A39" s="18" t="s">
        <v>8</v>
      </c>
      <c r="B39" s="20"/>
      <c r="C39" s="20">
        <f>C15+C21+C27+C33</f>
        <v>145279.5016223944</v>
      </c>
      <c r="D39" s="20">
        <f t="shared" ref="D39:N39" si="30">D15+D21+D27+D33</f>
        <v>146330.55950670154</v>
      </c>
      <c r="E39" s="20">
        <f t="shared" si="30"/>
        <v>147231.0593300513</v>
      </c>
      <c r="F39" s="20">
        <f t="shared" si="30"/>
        <v>148462.36813893905</v>
      </c>
      <c r="G39" s="20">
        <f t="shared" si="30"/>
        <v>149302.83437629818</v>
      </c>
      <c r="H39" s="20">
        <f t="shared" si="30"/>
        <v>151229.88878271455</v>
      </c>
      <c r="I39" s="20">
        <f>I15+I21+I27+I33</f>
        <v>152488.8330695339</v>
      </c>
      <c r="K39" s="20">
        <f t="shared" si="30"/>
        <v>145805.03056454798</v>
      </c>
      <c r="L39" s="20">
        <f t="shared" si="30"/>
        <v>149742.99673950739</v>
      </c>
      <c r="M39" s="20">
        <f t="shared" si="30"/>
        <v>148617.86354666186</v>
      </c>
      <c r="N39" s="20">
        <f t="shared" si="30"/>
        <v>1040325.0448266329</v>
      </c>
      <c r="P39" s="188"/>
    </row>
    <row r="40" spans="1:19" ht="14.5" x14ac:dyDescent="0.35">
      <c r="P40"/>
    </row>
    <row r="41" spans="1:19" x14ac:dyDescent="0.3">
      <c r="A41" s="42" t="s">
        <v>113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9" customFormat="1" ht="14.5" x14ac:dyDescent="0.35">
      <c r="J42" s="28"/>
      <c r="O42" s="28"/>
      <c r="Q42" s="28"/>
    </row>
    <row r="43" spans="1:19" ht="26" x14ac:dyDescent="0.3">
      <c r="A43" s="693" t="s">
        <v>201</v>
      </c>
      <c r="B43" s="678" t="s">
        <v>0</v>
      </c>
      <c r="C43" s="3">
        <v>2017</v>
      </c>
      <c r="D43" s="3">
        <v>2018</v>
      </c>
      <c r="E43" s="3">
        <v>2019</v>
      </c>
      <c r="F43" s="3">
        <v>2020</v>
      </c>
      <c r="G43" s="3">
        <v>2021</v>
      </c>
      <c r="H43" s="3">
        <v>2022</v>
      </c>
      <c r="I43" s="120">
        <v>2023</v>
      </c>
      <c r="K43" s="179" t="s">
        <v>295</v>
      </c>
      <c r="L43" s="179" t="s">
        <v>296</v>
      </c>
      <c r="M43" s="179" t="s">
        <v>271</v>
      </c>
      <c r="N43" s="4" t="s">
        <v>62</v>
      </c>
      <c r="P43" s="683" t="s">
        <v>305</v>
      </c>
    </row>
    <row r="44" spans="1:19" x14ac:dyDescent="0.3">
      <c r="A44" s="692"/>
      <c r="B44" s="679"/>
      <c r="C44" s="77">
        <v>12</v>
      </c>
      <c r="D44" s="77">
        <v>12</v>
      </c>
      <c r="E44" s="77">
        <v>12</v>
      </c>
      <c r="F44" s="77">
        <v>12</v>
      </c>
      <c r="G44" s="77">
        <v>12</v>
      </c>
      <c r="H44" s="77">
        <v>12</v>
      </c>
      <c r="I44" s="181">
        <v>12</v>
      </c>
      <c r="K44" s="78">
        <v>12</v>
      </c>
      <c r="L44" s="78">
        <v>12</v>
      </c>
      <c r="M44" s="78">
        <v>12</v>
      </c>
      <c r="N44" s="78">
        <f>SUM(C44:I44)</f>
        <v>84</v>
      </c>
      <c r="P44" s="684"/>
    </row>
    <row r="45" spans="1:19" s="5" customFormat="1" x14ac:dyDescent="0.3">
      <c r="A45" s="7" t="s">
        <v>66</v>
      </c>
      <c r="B45" s="8"/>
      <c r="C45" s="260">
        <v>6828.72</v>
      </c>
      <c r="D45" s="260">
        <v>7524.85</v>
      </c>
      <c r="E45" s="260">
        <v>7600.0985000000001</v>
      </c>
      <c r="F45" s="260">
        <v>7638.0989924999994</v>
      </c>
      <c r="G45" s="260">
        <v>7676.289487462499</v>
      </c>
      <c r="H45" s="260">
        <v>7714.6709348998111</v>
      </c>
      <c r="I45" s="261">
        <v>7753.2442895743097</v>
      </c>
      <c r="J45" s="28"/>
      <c r="K45" s="206">
        <f t="shared" ref="K45:K46" si="31">IFERROR(AVERAGE(C45:D45),"")</f>
        <v>7176.7849999999999</v>
      </c>
      <c r="L45" s="14">
        <f t="shared" ref="L45:L46" si="32">IFERROR(AVERAGE(E45:I45),"")</f>
        <v>7676.4804408873242</v>
      </c>
      <c r="M45" s="205">
        <f t="shared" ref="M45:M46" si="33">IFERROR(AVERAGE(C45:I45),"")</f>
        <v>7533.7103149195173</v>
      </c>
      <c r="N45" s="10">
        <f>SUM(C45:I45)</f>
        <v>52735.972204436621</v>
      </c>
      <c r="O45" s="28"/>
      <c r="P45" s="186"/>
      <c r="Q45" s="28"/>
      <c r="S45" s="6"/>
    </row>
    <row r="46" spans="1:19" x14ac:dyDescent="0.3">
      <c r="A46" s="109" t="s">
        <v>67</v>
      </c>
      <c r="B46" s="15"/>
      <c r="C46" s="106">
        <v>0</v>
      </c>
      <c r="D46" s="106">
        <v>0</v>
      </c>
      <c r="E46" s="106">
        <v>0</v>
      </c>
      <c r="F46" s="106">
        <v>0</v>
      </c>
      <c r="G46" s="106">
        <v>0</v>
      </c>
      <c r="H46" s="106">
        <v>0</v>
      </c>
      <c r="I46" s="183">
        <v>0</v>
      </c>
      <c r="K46" s="206">
        <f t="shared" si="31"/>
        <v>0</v>
      </c>
      <c r="L46" s="14">
        <f t="shared" si="32"/>
        <v>0</v>
      </c>
      <c r="M46" s="205">
        <f t="shared" si="33"/>
        <v>0</v>
      </c>
      <c r="N46" s="16">
        <f>SUM(C46:I46)</f>
        <v>0</v>
      </c>
      <c r="P46" s="187"/>
      <c r="S46" s="11"/>
    </row>
    <row r="47" spans="1:19" x14ac:dyDescent="0.3">
      <c r="A47" s="18" t="s">
        <v>207</v>
      </c>
      <c r="B47" s="68"/>
      <c r="C47" s="19">
        <f>C45+C46</f>
        <v>6828.72</v>
      </c>
      <c r="D47" s="19">
        <f t="shared" ref="D47:N47" si="34">D45+D46</f>
        <v>7524.85</v>
      </c>
      <c r="E47" s="19">
        <f t="shared" si="34"/>
        <v>7600.0985000000001</v>
      </c>
      <c r="F47" s="19">
        <f t="shared" si="34"/>
        <v>7638.0989924999994</v>
      </c>
      <c r="G47" s="19">
        <f t="shared" si="34"/>
        <v>7676.289487462499</v>
      </c>
      <c r="H47" s="19">
        <f t="shared" si="34"/>
        <v>7714.6709348998111</v>
      </c>
      <c r="I47" s="35">
        <f>I45+I46</f>
        <v>7753.2442895743097</v>
      </c>
      <c r="K47" s="20">
        <f t="shared" ref="K47:M47" si="35">K45+K46</f>
        <v>7176.7849999999999</v>
      </c>
      <c r="L47" s="35">
        <f t="shared" si="35"/>
        <v>7676.4804408873242</v>
      </c>
      <c r="M47" s="35">
        <f t="shared" si="35"/>
        <v>7533.7103149195173</v>
      </c>
      <c r="N47" s="35">
        <f t="shared" si="34"/>
        <v>52735.972204436621</v>
      </c>
      <c r="P47" s="202"/>
      <c r="S47" s="11"/>
    </row>
    <row r="48" spans="1:19" x14ac:dyDescent="0.3"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P48" s="2"/>
      <c r="S48" s="11"/>
    </row>
    <row r="49" spans="1:19" ht="14.5" x14ac:dyDescent="0.35">
      <c r="C49" s="13"/>
      <c r="D49" s="13"/>
      <c r="E49" s="13"/>
      <c r="F49" s="13"/>
      <c r="G49" s="13"/>
      <c r="H49" s="13"/>
      <c r="I49" s="13"/>
      <c r="K49" s="13"/>
      <c r="L49" s="13"/>
      <c r="M49" s="13"/>
      <c r="N49" s="13"/>
      <c r="P49"/>
    </row>
    <row r="50" spans="1:19" ht="26" x14ac:dyDescent="0.3">
      <c r="A50" s="693" t="s">
        <v>198</v>
      </c>
      <c r="B50" s="678" t="s">
        <v>0</v>
      </c>
      <c r="C50" s="3">
        <v>2017</v>
      </c>
      <c r="D50" s="3">
        <v>2018</v>
      </c>
      <c r="E50" s="3">
        <v>2019</v>
      </c>
      <c r="F50" s="3">
        <v>2020</v>
      </c>
      <c r="G50" s="3">
        <v>2021</v>
      </c>
      <c r="H50" s="3">
        <v>2022</v>
      </c>
      <c r="I50" s="120">
        <v>2023</v>
      </c>
      <c r="K50" s="179" t="s">
        <v>295</v>
      </c>
      <c r="L50" s="179" t="s">
        <v>296</v>
      </c>
      <c r="M50" s="179" t="s">
        <v>271</v>
      </c>
      <c r="N50" s="4" t="s">
        <v>62</v>
      </c>
      <c r="P50" s="683" t="s">
        <v>305</v>
      </c>
    </row>
    <row r="51" spans="1:19" x14ac:dyDescent="0.3">
      <c r="A51" s="692"/>
      <c r="B51" s="679"/>
      <c r="C51" s="77">
        <v>12</v>
      </c>
      <c r="D51" s="77">
        <v>12</v>
      </c>
      <c r="E51" s="77">
        <v>12</v>
      </c>
      <c r="F51" s="77">
        <v>12</v>
      </c>
      <c r="G51" s="77">
        <v>12</v>
      </c>
      <c r="H51" s="77">
        <v>12</v>
      </c>
      <c r="I51" s="181">
        <v>12</v>
      </c>
      <c r="K51" s="78">
        <v>12</v>
      </c>
      <c r="L51" s="78">
        <v>12</v>
      </c>
      <c r="M51" s="78">
        <v>12</v>
      </c>
      <c r="N51" s="78">
        <f>SUM(C51:I51)</f>
        <v>84</v>
      </c>
      <c r="P51" s="684"/>
      <c r="S51" s="11"/>
    </row>
    <row r="52" spans="1:19" s="5" customFormat="1" x14ac:dyDescent="0.3">
      <c r="A52" s="21" t="s">
        <v>197</v>
      </c>
      <c r="B52" s="22"/>
      <c r="C52" s="110">
        <f>SUM(C53:C55)</f>
        <v>0</v>
      </c>
      <c r="D52" s="110">
        <f t="shared" ref="D52:I52" si="36">SUM(D53:D55)</f>
        <v>0</v>
      </c>
      <c r="E52" s="110">
        <f t="shared" si="36"/>
        <v>0</v>
      </c>
      <c r="F52" s="110">
        <f t="shared" si="36"/>
        <v>0</v>
      </c>
      <c r="G52" s="110">
        <f t="shared" si="36"/>
        <v>0</v>
      </c>
      <c r="H52" s="110">
        <f t="shared" si="36"/>
        <v>0</v>
      </c>
      <c r="I52" s="184">
        <f t="shared" si="36"/>
        <v>0</v>
      </c>
      <c r="J52" s="28"/>
      <c r="K52" s="177">
        <f t="shared" ref="K52:M52" si="37">SUM(K53:K55)</f>
        <v>0</v>
      </c>
      <c r="L52" s="24">
        <f t="shared" si="37"/>
        <v>0</v>
      </c>
      <c r="M52" s="110">
        <f t="shared" si="37"/>
        <v>0</v>
      </c>
      <c r="N52" s="24">
        <f>SUM(N53:N55)</f>
        <v>0</v>
      </c>
      <c r="O52" s="28"/>
      <c r="P52" s="186"/>
      <c r="Q52" s="28"/>
    </row>
    <row r="53" spans="1:19" x14ac:dyDescent="0.3">
      <c r="A53" s="25" t="s">
        <v>1</v>
      </c>
      <c r="B53" s="26"/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57">
        <v>0</v>
      </c>
      <c r="K53" s="206">
        <f t="shared" ref="K53:K55" si="38">IFERROR(AVERAGE(C53:D53),"")</f>
        <v>0</v>
      </c>
      <c r="L53" s="14">
        <f t="shared" ref="L53:L55" si="39">IFERROR(AVERAGE(E53:I53),"")</f>
        <v>0</v>
      </c>
      <c r="M53" s="205">
        <f t="shared" ref="M53:M55" si="40">IFERROR(AVERAGE(C53:I53),"")</f>
        <v>0</v>
      </c>
      <c r="N53" s="14">
        <f>SUM(C53:I53)</f>
        <v>0</v>
      </c>
      <c r="P53" s="186" t="str">
        <f>'2. CEP offre de base'!L22</f>
        <v>Formule CV Indices G, R et S (1+C)</v>
      </c>
    </row>
    <row r="54" spans="1:19" x14ac:dyDescent="0.3">
      <c r="A54" s="25" t="s">
        <v>167</v>
      </c>
      <c r="B54" s="26"/>
      <c r="C54" s="13">
        <f>C15</f>
        <v>0</v>
      </c>
      <c r="D54" s="13">
        <f t="shared" ref="D54:I54" si="41">D15</f>
        <v>0</v>
      </c>
      <c r="E54" s="13">
        <f t="shared" si="41"/>
        <v>0</v>
      </c>
      <c r="F54" s="13">
        <f t="shared" si="41"/>
        <v>0</v>
      </c>
      <c r="G54" s="13">
        <f t="shared" si="41"/>
        <v>0</v>
      </c>
      <c r="H54" s="13">
        <f t="shared" si="41"/>
        <v>0</v>
      </c>
      <c r="I54" s="157">
        <f t="shared" si="41"/>
        <v>0</v>
      </c>
      <c r="K54" s="206">
        <f t="shared" si="38"/>
        <v>0</v>
      </c>
      <c r="L54" s="14">
        <f t="shared" si="39"/>
        <v>0</v>
      </c>
      <c r="M54" s="205">
        <f t="shared" si="40"/>
        <v>0</v>
      </c>
      <c r="N54" s="14">
        <f t="shared" ref="N54:N55" si="42">SUM(C54:I54)</f>
        <v>0</v>
      </c>
      <c r="P54" s="187" t="str">
        <f>'2. CEP offre de base'!L23</f>
        <v>Formule CV Indice S (1+C)</v>
      </c>
    </row>
    <row r="55" spans="1:19" x14ac:dyDescent="0.3">
      <c r="A55" s="25" t="s">
        <v>2</v>
      </c>
      <c r="B55" s="26"/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83">
        <v>0</v>
      </c>
      <c r="K55" s="206">
        <f t="shared" si="38"/>
        <v>0</v>
      </c>
      <c r="L55" s="14">
        <f t="shared" si="39"/>
        <v>0</v>
      </c>
      <c r="M55" s="205">
        <f t="shared" si="40"/>
        <v>0</v>
      </c>
      <c r="N55" s="14">
        <f t="shared" si="42"/>
        <v>0</v>
      </c>
      <c r="P55" s="187" t="str">
        <f>'2. CEP offre de base'!L24</f>
        <v>Formule CV Indice R</v>
      </c>
    </row>
    <row r="56" spans="1:19" s="5" customFormat="1" x14ac:dyDescent="0.3">
      <c r="A56" s="21" t="s">
        <v>199</v>
      </c>
      <c r="B56" s="22"/>
      <c r="C56" s="23">
        <f>SUM(C57:C64)</f>
        <v>186654.43655372877</v>
      </c>
      <c r="D56" s="23">
        <f t="shared" ref="D56:H56" si="43">SUM(D57:D64)</f>
        <v>186894.88386674796</v>
      </c>
      <c r="E56" s="23">
        <f t="shared" si="43"/>
        <v>187931.38956160448</v>
      </c>
      <c r="F56" s="23">
        <f t="shared" si="43"/>
        <v>197096.30504348947</v>
      </c>
      <c r="G56" s="23">
        <f t="shared" si="43"/>
        <v>198066.02775019116</v>
      </c>
      <c r="H56" s="23">
        <f t="shared" si="43"/>
        <v>200277.58998355246</v>
      </c>
      <c r="I56" s="178">
        <f>SUM(I57:I64)</f>
        <v>201732.9757971612</v>
      </c>
      <c r="J56" s="28"/>
      <c r="K56" s="177">
        <f t="shared" ref="K56:M56" si="44">SUM(K57:K64)</f>
        <v>186774.66021023836</v>
      </c>
      <c r="L56" s="24">
        <f t="shared" si="44"/>
        <v>197020.85762719976</v>
      </c>
      <c r="M56" s="23">
        <f t="shared" si="44"/>
        <v>194093.37265092504</v>
      </c>
      <c r="N56" s="24">
        <f>SUM(N57:N64)</f>
        <v>1358653.6085564753</v>
      </c>
      <c r="O56" s="28"/>
      <c r="P56" s="188"/>
      <c r="Q56" s="28"/>
    </row>
    <row r="57" spans="1:19" x14ac:dyDescent="0.3">
      <c r="A57" s="25" t="s">
        <v>3</v>
      </c>
      <c r="B57" s="27"/>
      <c r="C57" s="262">
        <v>7983.8306845128855</v>
      </c>
      <c r="D57" s="262">
        <v>7886.8026852015992</v>
      </c>
      <c r="E57" s="262">
        <v>7916.019128013957</v>
      </c>
      <c r="F57" s="262">
        <v>8178.8656433904252</v>
      </c>
      <c r="G57" s="262">
        <v>8206.6090462280808</v>
      </c>
      <c r="H57" s="262">
        <v>8267.598283933241</v>
      </c>
      <c r="I57" s="263">
        <v>8309.7530059509463</v>
      </c>
      <c r="K57" s="206">
        <f t="shared" ref="K57:K64" si="45">IFERROR(AVERAGE(C57:D57),"")</f>
        <v>7935.3166848572419</v>
      </c>
      <c r="L57" s="14">
        <f t="shared" ref="L57:L64" si="46">IFERROR(AVERAGE(E57:I57),"")</f>
        <v>8175.7690215033308</v>
      </c>
      <c r="M57" s="205">
        <f t="shared" ref="M57:M64" si="47">IFERROR(AVERAGE(C57:I57),"")</f>
        <v>8107.0683538901631</v>
      </c>
      <c r="N57" s="14">
        <f t="shared" ref="N57:N63" si="48">SUM(C57:I57)</f>
        <v>56749.47847723114</v>
      </c>
      <c r="P57" s="187" t="str">
        <f>'2. CEP offre de base'!L26</f>
        <v>Formule Cf Indice FG</v>
      </c>
    </row>
    <row r="58" spans="1:19" x14ac:dyDescent="0.3">
      <c r="A58" s="25" t="s">
        <v>166</v>
      </c>
      <c r="B58" s="26"/>
      <c r="C58" s="262">
        <f>C21</f>
        <v>145279.5016223944</v>
      </c>
      <c r="D58" s="262">
        <f t="shared" ref="D58:I58" si="49">D21</f>
        <v>146330.55950670154</v>
      </c>
      <c r="E58" s="262">
        <f t="shared" si="49"/>
        <v>147231.0593300513</v>
      </c>
      <c r="F58" s="262">
        <f t="shared" si="49"/>
        <v>148462.36813893905</v>
      </c>
      <c r="G58" s="262">
        <f t="shared" si="49"/>
        <v>149302.83437629818</v>
      </c>
      <c r="H58" s="262">
        <f t="shared" si="49"/>
        <v>151229.88878271455</v>
      </c>
      <c r="I58" s="263">
        <f t="shared" si="49"/>
        <v>152488.8330695339</v>
      </c>
      <c r="K58" s="206">
        <f t="shared" si="45"/>
        <v>145805.03056454798</v>
      </c>
      <c r="L58" s="14">
        <f t="shared" si="46"/>
        <v>149742.99673950739</v>
      </c>
      <c r="M58" s="205">
        <f t="shared" si="47"/>
        <v>148617.86354666186</v>
      </c>
      <c r="N58" s="14">
        <f t="shared" si="48"/>
        <v>1040325.0448266329</v>
      </c>
      <c r="P58" s="187" t="str">
        <f>'2. CEP offre de base'!L28</f>
        <v>Formule Cf Indice S (1+C)</v>
      </c>
    </row>
    <row r="59" spans="1:19" x14ac:dyDescent="0.3">
      <c r="A59" s="25" t="s">
        <v>4</v>
      </c>
      <c r="B59" s="26"/>
      <c r="C59" s="262">
        <v>11842.777083426128</v>
      </c>
      <c r="D59" s="262">
        <v>11325.100688227067</v>
      </c>
      <c r="E59" s="262">
        <v>11345.441713819064</v>
      </c>
      <c r="F59" s="262">
        <v>11528.790055230273</v>
      </c>
      <c r="G59" s="262">
        <v>11548.118226180211</v>
      </c>
      <c r="H59" s="262">
        <v>11590.713997365447</v>
      </c>
      <c r="I59" s="263">
        <v>11620.081120172914</v>
      </c>
      <c r="K59" s="206">
        <f t="shared" si="45"/>
        <v>11583.938885826597</v>
      </c>
      <c r="L59" s="14">
        <f t="shared" si="46"/>
        <v>11526.629022553581</v>
      </c>
      <c r="M59" s="205">
        <f t="shared" si="47"/>
        <v>11543.003269203013</v>
      </c>
      <c r="N59" s="14">
        <f t="shared" si="48"/>
        <v>80801.022884421094</v>
      </c>
      <c r="P59" s="187" t="str">
        <f>'2. CEP offre de base'!L29</f>
        <v>Formule Cf Indice S (1+C)</v>
      </c>
    </row>
    <row r="60" spans="1:19" x14ac:dyDescent="0.3">
      <c r="A60" s="25" t="s">
        <v>5</v>
      </c>
      <c r="B60" s="26"/>
      <c r="C60" s="262">
        <v>4577.2981434433141</v>
      </c>
      <c r="D60" s="262">
        <v>4746.2875781512739</v>
      </c>
      <c r="E60" s="262">
        <v>4779.9082606391603</v>
      </c>
      <c r="F60" s="262">
        <v>4973.4085669699989</v>
      </c>
      <c r="G60" s="262">
        <v>5005.3760001128176</v>
      </c>
      <c r="H60" s="262">
        <v>5075.7279633891976</v>
      </c>
      <c r="I60" s="263">
        <v>5124.3234853362665</v>
      </c>
      <c r="K60" s="206">
        <f t="shared" si="45"/>
        <v>4661.7928607972935</v>
      </c>
      <c r="L60" s="14">
        <f t="shared" si="46"/>
        <v>4991.7488552894883</v>
      </c>
      <c r="M60" s="205">
        <f t="shared" si="47"/>
        <v>4897.4757140060037</v>
      </c>
      <c r="N60" s="14">
        <f t="shared" si="48"/>
        <v>34282.329998042027</v>
      </c>
      <c r="P60" s="187" t="str">
        <f>'2. CEP offre de base'!L30</f>
        <v>Formule Cf Indice FG</v>
      </c>
    </row>
    <row r="61" spans="1:19" x14ac:dyDescent="0.3">
      <c r="A61" s="25" t="s">
        <v>176</v>
      </c>
      <c r="B61" s="26"/>
      <c r="C61" s="13"/>
      <c r="D61" s="13"/>
      <c r="E61" s="13"/>
      <c r="F61" s="13"/>
      <c r="G61" s="13"/>
      <c r="H61" s="13"/>
      <c r="I61" s="157"/>
      <c r="K61" s="206" t="str">
        <f t="shared" si="45"/>
        <v/>
      </c>
      <c r="L61" s="14" t="str">
        <f t="shared" si="46"/>
        <v/>
      </c>
      <c r="M61" s="205" t="str">
        <f t="shared" si="47"/>
        <v/>
      </c>
      <c r="N61" s="14">
        <f t="shared" si="48"/>
        <v>0</v>
      </c>
      <c r="P61" s="187"/>
    </row>
    <row r="62" spans="1:19" ht="12.25" customHeight="1" x14ac:dyDescent="0.3">
      <c r="A62" s="25" t="s">
        <v>182</v>
      </c>
      <c r="B62" s="26"/>
      <c r="C62" s="13"/>
      <c r="D62" s="13"/>
      <c r="E62" s="13"/>
      <c r="F62" s="13"/>
      <c r="G62" s="13"/>
      <c r="H62" s="13"/>
      <c r="I62" s="157"/>
      <c r="K62" s="206" t="str">
        <f t="shared" si="45"/>
        <v/>
      </c>
      <c r="L62" s="14" t="str">
        <f t="shared" si="46"/>
        <v/>
      </c>
      <c r="M62" s="205" t="str">
        <f t="shared" si="47"/>
        <v/>
      </c>
      <c r="N62" s="14">
        <f t="shared" si="48"/>
        <v>0</v>
      </c>
      <c r="P62" s="187"/>
    </row>
    <row r="63" spans="1:19" x14ac:dyDescent="0.3">
      <c r="A63" s="25" t="s">
        <v>6</v>
      </c>
      <c r="B63" s="26"/>
      <c r="C63" s="262">
        <v>6016.4602177828256</v>
      </c>
      <c r="D63" s="262">
        <v>6130.4152718563773</v>
      </c>
      <c r="E63" s="262">
        <v>6164.4275437984406</v>
      </c>
      <c r="F63" s="262">
        <v>13288.741837871783</v>
      </c>
      <c r="G63" s="262">
        <v>13321.080742155265</v>
      </c>
      <c r="H63" s="262">
        <v>13392.250508587022</v>
      </c>
      <c r="I63" s="263">
        <v>13441.410080007276</v>
      </c>
      <c r="K63" s="206">
        <f t="shared" si="45"/>
        <v>6073.437744819601</v>
      </c>
      <c r="L63" s="14">
        <f t="shared" si="46"/>
        <v>11921.582142483958</v>
      </c>
      <c r="M63" s="205">
        <f t="shared" si="47"/>
        <v>10250.683743151283</v>
      </c>
      <c r="N63" s="14">
        <f t="shared" si="48"/>
        <v>71754.786202058982</v>
      </c>
      <c r="P63" s="187" t="str">
        <f>'2. CEP offre de base'!L33</f>
        <v>Formule Cf Indice ING</v>
      </c>
    </row>
    <row r="64" spans="1:19" s="5" customFormat="1" x14ac:dyDescent="0.3">
      <c r="A64" s="25" t="s">
        <v>196</v>
      </c>
      <c r="B64" s="26"/>
      <c r="C64" s="262">
        <v>10954.568802169229</v>
      </c>
      <c r="D64" s="262">
        <v>10475.718136610089</v>
      </c>
      <c r="E64" s="262">
        <v>10494.533585282539</v>
      </c>
      <c r="F64" s="262">
        <v>10664.130801087931</v>
      </c>
      <c r="G64" s="262">
        <v>10682.009359216599</v>
      </c>
      <c r="H64" s="262">
        <v>10721.41044756301</v>
      </c>
      <c r="I64" s="264">
        <v>10748.575036159889</v>
      </c>
      <c r="J64" s="28"/>
      <c r="K64" s="206">
        <f t="shared" si="45"/>
        <v>10715.143469389659</v>
      </c>
      <c r="L64" s="14">
        <f t="shared" si="46"/>
        <v>10662.131845861993</v>
      </c>
      <c r="M64" s="205">
        <f t="shared" si="47"/>
        <v>10677.278024012756</v>
      </c>
      <c r="N64" s="14">
        <f>SUM(C64:I64)</f>
        <v>74740.946168089285</v>
      </c>
      <c r="O64" s="28"/>
      <c r="P64" s="187"/>
      <c r="Q64" s="28"/>
    </row>
    <row r="65" spans="1:19" x14ac:dyDescent="0.3">
      <c r="A65" s="21" t="s">
        <v>200</v>
      </c>
      <c r="B65" s="22"/>
      <c r="C65" s="265">
        <v>405728.76761600003</v>
      </c>
      <c r="D65" s="265">
        <v>379791.77779999992</v>
      </c>
      <c r="E65" s="265">
        <v>379791.77779999992</v>
      </c>
      <c r="F65" s="265">
        <v>379791.77779999992</v>
      </c>
      <c r="G65" s="265">
        <v>379791.77779999992</v>
      </c>
      <c r="H65" s="265">
        <v>379791.77779999992</v>
      </c>
      <c r="I65" s="266">
        <v>379791.77779999992</v>
      </c>
      <c r="K65" s="177">
        <f t="shared" ref="K65" si="50">IFERROR(AVERAGE(C65:D65),"")</f>
        <v>392760.27270799997</v>
      </c>
      <c r="L65" s="24">
        <f t="shared" ref="L65" si="51">IFERROR(AVERAGE(E65:I65),"")</f>
        <v>379791.77779999992</v>
      </c>
      <c r="M65" s="23">
        <f t="shared" ref="M65" si="52">IFERROR(AVERAGE(C65:I65),"")</f>
        <v>383497.06205942848</v>
      </c>
      <c r="N65" s="24">
        <f t="shared" ref="N65" si="53">SUM(C65:I65)</f>
        <v>2684479.4344159993</v>
      </c>
      <c r="P65" s="188"/>
    </row>
    <row r="66" spans="1:19" x14ac:dyDescent="0.3">
      <c r="A66" s="18" t="s">
        <v>208</v>
      </c>
      <c r="B66" s="68"/>
      <c r="C66" s="19">
        <f>C52+C56+C65</f>
        <v>592383.20416972879</v>
      </c>
      <c r="D66" s="19">
        <f t="shared" ref="D66:N66" si="54">D52+D56+D65</f>
        <v>566686.66166674788</v>
      </c>
      <c r="E66" s="19">
        <f t="shared" si="54"/>
        <v>567723.1673616044</v>
      </c>
      <c r="F66" s="19">
        <f t="shared" si="54"/>
        <v>576888.08284348936</v>
      </c>
      <c r="G66" s="19">
        <f t="shared" si="54"/>
        <v>577857.80555019109</v>
      </c>
      <c r="H66" s="19">
        <f t="shared" si="54"/>
        <v>580069.36778355238</v>
      </c>
      <c r="I66" s="35">
        <f t="shared" si="54"/>
        <v>581524.75359716115</v>
      </c>
      <c r="J66" s="226"/>
      <c r="K66" s="35">
        <f t="shared" si="54"/>
        <v>579534.93291823834</v>
      </c>
      <c r="L66" s="35">
        <f t="shared" si="54"/>
        <v>576812.63542719965</v>
      </c>
      <c r="M66" s="35">
        <f t="shared" si="54"/>
        <v>577590.4347103535</v>
      </c>
      <c r="N66" s="35">
        <f t="shared" si="54"/>
        <v>4043133.0429724744</v>
      </c>
      <c r="O66" s="226"/>
      <c r="P66" s="202"/>
    </row>
    <row r="67" spans="1:19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S67" s="11"/>
    </row>
    <row r="68" spans="1:19" x14ac:dyDescent="0.3">
      <c r="A68" s="111" t="s">
        <v>202</v>
      </c>
      <c r="B68" s="112"/>
      <c r="C68" s="236">
        <f>C64/C66</f>
        <v>1.8492369002127449E-2</v>
      </c>
      <c r="D68" s="236">
        <f t="shared" ref="D68:N68" si="55">D64/D66</f>
        <v>1.8485909136803643E-2</v>
      </c>
      <c r="E68" s="236">
        <f t="shared" si="55"/>
        <v>1.8485300915328285E-2</v>
      </c>
      <c r="F68" s="236">
        <f t="shared" si="55"/>
        <v>1.8485614659474819E-2</v>
      </c>
      <c r="G68" s="236">
        <f t="shared" si="55"/>
        <v>1.8485532697868508E-2</v>
      </c>
      <c r="H68" s="236">
        <f t="shared" si="55"/>
        <v>1.8482979869337984E-2</v>
      </c>
      <c r="I68" s="237">
        <f t="shared" si="55"/>
        <v>1.848343508968792E-2</v>
      </c>
      <c r="K68" s="239">
        <f t="shared" si="55"/>
        <v>1.8489210676971162E-2</v>
      </c>
      <c r="L68" s="237">
        <f t="shared" si="55"/>
        <v>1.8484567069106232E-2</v>
      </c>
      <c r="M68" s="237">
        <f t="shared" si="55"/>
        <v>1.8485898280789798E-2</v>
      </c>
      <c r="N68" s="239">
        <f t="shared" si="55"/>
        <v>1.8485898280789798E-2</v>
      </c>
      <c r="S68" s="11"/>
    </row>
    <row r="70" spans="1:19" x14ac:dyDescent="0.3">
      <c r="C70" s="234"/>
      <c r="D70" s="234"/>
      <c r="E70" s="234"/>
      <c r="F70" s="234"/>
      <c r="G70" s="234"/>
      <c r="H70" s="234"/>
      <c r="I70" s="234"/>
    </row>
    <row r="71" spans="1:19" x14ac:dyDescent="0.3">
      <c r="C71" s="13"/>
    </row>
  </sheetData>
  <mergeCells count="11">
    <mergeCell ref="P5:P6"/>
    <mergeCell ref="P13:P14"/>
    <mergeCell ref="P43:P44"/>
    <mergeCell ref="P50:P51"/>
    <mergeCell ref="A50:A51"/>
    <mergeCell ref="B50:B51"/>
    <mergeCell ref="A1:N1"/>
    <mergeCell ref="A43:A44"/>
    <mergeCell ref="B43:B44"/>
    <mergeCell ref="A13:A14"/>
    <mergeCell ref="A5:A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&amp;L&amp;F&amp;R&amp;A</oddHeader>
    <oddFooter>&amp;L&amp;D&amp;C&amp;P/&amp;N&amp;R&amp;T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3" tint="0.59999389629810485"/>
    <pageSetUpPr fitToPage="1"/>
  </sheetPr>
  <dimension ref="A1:P71"/>
  <sheetViews>
    <sheetView showGridLines="0" zoomScale="85" zoomScaleNormal="85" workbookViewId="0">
      <selection sqref="A1:N1"/>
    </sheetView>
  </sheetViews>
  <sheetFormatPr baseColWidth="10" defaultColWidth="11.26953125" defaultRowHeight="13" x14ac:dyDescent="0.3"/>
  <cols>
    <col min="1" max="1" width="34.7265625" style="2" customWidth="1"/>
    <col min="2" max="2" width="11" style="17" customWidth="1"/>
    <col min="3" max="9" width="11" style="28" customWidth="1"/>
    <col min="10" max="10" width="6.7265625" style="28" customWidth="1"/>
    <col min="11" max="14" width="11" style="28" customWidth="1"/>
    <col min="15" max="15" width="6.7265625" style="28" customWidth="1"/>
    <col min="16" max="16" width="27.453125" style="28" bestFit="1" customWidth="1"/>
    <col min="17" max="16384" width="11.26953125" style="2"/>
  </cols>
  <sheetData>
    <row r="1" spans="1:16" ht="16.75" customHeight="1" x14ac:dyDescent="0.3">
      <c r="A1" s="700" t="s">
        <v>114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90"/>
    </row>
    <row r="3" spans="1:16" x14ac:dyDescent="0.3">
      <c r="A3" s="42" t="s">
        <v>74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5" spans="1:16" ht="26" x14ac:dyDescent="0.3">
      <c r="A5" s="668" t="s">
        <v>173</v>
      </c>
      <c r="B5" s="80"/>
      <c r="C5" s="3">
        <v>2017</v>
      </c>
      <c r="D5" s="3">
        <v>2018</v>
      </c>
      <c r="E5" s="3">
        <v>2019</v>
      </c>
      <c r="F5" s="3">
        <v>2020</v>
      </c>
      <c r="G5" s="3">
        <v>2021</v>
      </c>
      <c r="H5" s="3">
        <v>2022</v>
      </c>
      <c r="I5" s="3">
        <v>2023</v>
      </c>
      <c r="K5" s="179" t="s">
        <v>295</v>
      </c>
      <c r="L5" s="179" t="s">
        <v>296</v>
      </c>
      <c r="M5" s="179" t="s">
        <v>271</v>
      </c>
      <c r="N5" s="4" t="s">
        <v>62</v>
      </c>
      <c r="P5" s="683" t="s">
        <v>305</v>
      </c>
    </row>
    <row r="6" spans="1:16" x14ac:dyDescent="0.3">
      <c r="A6" s="701"/>
      <c r="B6" s="81"/>
      <c r="C6" s="77">
        <v>12</v>
      </c>
      <c r="D6" s="77">
        <v>12</v>
      </c>
      <c r="E6" s="77">
        <v>12</v>
      </c>
      <c r="F6" s="77">
        <v>12</v>
      </c>
      <c r="G6" s="77">
        <v>12</v>
      </c>
      <c r="H6" s="77">
        <v>12</v>
      </c>
      <c r="I6" s="77">
        <v>12</v>
      </c>
      <c r="K6" s="78">
        <v>12</v>
      </c>
      <c r="L6" s="78">
        <v>12</v>
      </c>
      <c r="M6" s="78">
        <v>12</v>
      </c>
      <c r="N6" s="78">
        <f>SUM(C6:I6)</f>
        <v>84</v>
      </c>
      <c r="P6" s="684"/>
    </row>
    <row r="7" spans="1:16" x14ac:dyDescent="0.3">
      <c r="A7" s="83" t="s">
        <v>110</v>
      </c>
      <c r="B7" s="86"/>
      <c r="C7" s="208">
        <v>124000</v>
      </c>
      <c r="D7" s="208">
        <v>124000</v>
      </c>
      <c r="E7" s="208">
        <v>124000</v>
      </c>
      <c r="F7" s="208">
        <v>124000</v>
      </c>
      <c r="G7" s="208">
        <v>124000</v>
      </c>
      <c r="H7" s="208">
        <v>124000</v>
      </c>
      <c r="I7" s="208">
        <v>124000</v>
      </c>
      <c r="K7" s="10">
        <f>IFERROR(AVERAGE(C7:D7),"")</f>
        <v>124000</v>
      </c>
      <c r="L7" s="10">
        <f t="shared" ref="L7:L9" si="0">IFERROR(AVERAGE(E7:I7),"")</f>
        <v>124000</v>
      </c>
      <c r="M7" s="10">
        <f t="shared" ref="M7:M9" si="1">IFERROR(AVERAGE(C7:I7),"")</f>
        <v>124000</v>
      </c>
      <c r="N7" s="10">
        <f>SUM(C7:I7)</f>
        <v>868000</v>
      </c>
      <c r="P7" s="186"/>
    </row>
    <row r="8" spans="1:16" x14ac:dyDescent="0.3">
      <c r="A8" s="84" t="s">
        <v>111</v>
      </c>
      <c r="B8" s="87"/>
      <c r="C8" s="209">
        <v>124000</v>
      </c>
      <c r="D8" s="209">
        <v>124000</v>
      </c>
      <c r="E8" s="209">
        <v>124000</v>
      </c>
      <c r="F8" s="209">
        <v>124000</v>
      </c>
      <c r="G8" s="209">
        <v>124000</v>
      </c>
      <c r="H8" s="209">
        <v>124000</v>
      </c>
      <c r="I8" s="209">
        <v>124000</v>
      </c>
      <c r="K8" s="14">
        <f t="shared" ref="K8:K9" si="2">IFERROR(AVERAGE(C8:D8),"")</f>
        <v>124000</v>
      </c>
      <c r="L8" s="14">
        <f t="shared" si="0"/>
        <v>124000</v>
      </c>
      <c r="M8" s="14">
        <f t="shared" si="1"/>
        <v>124000</v>
      </c>
      <c r="N8" s="14">
        <f t="shared" ref="N8:N9" si="3">SUM(C8:I8)</f>
        <v>868000</v>
      </c>
      <c r="P8" s="187"/>
    </row>
    <row r="9" spans="1:16" x14ac:dyDescent="0.3">
      <c r="A9" s="85" t="s">
        <v>112</v>
      </c>
      <c r="B9" s="88"/>
      <c r="C9" s="248">
        <v>3720</v>
      </c>
      <c r="D9" s="248">
        <v>3720</v>
      </c>
      <c r="E9" s="248">
        <v>3720</v>
      </c>
      <c r="F9" s="248">
        <v>3720</v>
      </c>
      <c r="G9" s="248">
        <v>3720</v>
      </c>
      <c r="H9" s="248">
        <v>3720</v>
      </c>
      <c r="I9" s="248">
        <v>3720</v>
      </c>
      <c r="K9" s="14">
        <f t="shared" si="2"/>
        <v>3720</v>
      </c>
      <c r="L9" s="14">
        <f t="shared" si="0"/>
        <v>3720</v>
      </c>
      <c r="M9" s="14">
        <f t="shared" si="1"/>
        <v>3720</v>
      </c>
      <c r="N9" s="14">
        <f t="shared" si="3"/>
        <v>26040</v>
      </c>
      <c r="P9" s="202"/>
    </row>
    <row r="10" spans="1:16" ht="14.5" x14ac:dyDescent="0.35">
      <c r="A10" s="82" t="s">
        <v>8</v>
      </c>
      <c r="B10" s="20"/>
      <c r="C10" s="20">
        <f>SUM(C7:C9)</f>
        <v>251720</v>
      </c>
      <c r="D10" s="20">
        <f t="shared" ref="D10:I10" si="4">SUM(D7:D9)</f>
        <v>251720</v>
      </c>
      <c r="E10" s="20">
        <f t="shared" si="4"/>
        <v>251720</v>
      </c>
      <c r="F10" s="20">
        <f t="shared" si="4"/>
        <v>251720</v>
      </c>
      <c r="G10" s="20">
        <f t="shared" si="4"/>
        <v>251720</v>
      </c>
      <c r="H10" s="20">
        <f t="shared" si="4"/>
        <v>251720</v>
      </c>
      <c r="I10" s="20">
        <f t="shared" si="4"/>
        <v>251720</v>
      </c>
      <c r="K10" s="20">
        <f t="shared" ref="K10:M10" si="5">SUM(K7:K9)</f>
        <v>251720</v>
      </c>
      <c r="L10" s="20">
        <f t="shared" si="5"/>
        <v>251720</v>
      </c>
      <c r="M10" s="20">
        <f t="shared" si="5"/>
        <v>251720</v>
      </c>
      <c r="N10" s="20">
        <f>SUM(N7:N9)</f>
        <v>1762040</v>
      </c>
      <c r="P10" s="227"/>
    </row>
    <row r="11" spans="1:16" ht="14.5" x14ac:dyDescent="0.35">
      <c r="P11"/>
    </row>
    <row r="12" spans="1:16" ht="14.5" x14ac:dyDescent="0.35">
      <c r="P12"/>
    </row>
    <row r="13" spans="1:16" ht="26" x14ac:dyDescent="0.3">
      <c r="A13" s="668" t="s">
        <v>78</v>
      </c>
      <c r="B13" s="80"/>
      <c r="C13" s="3">
        <v>2017</v>
      </c>
      <c r="D13" s="3">
        <v>2018</v>
      </c>
      <c r="E13" s="3">
        <v>2019</v>
      </c>
      <c r="F13" s="3">
        <v>2020</v>
      </c>
      <c r="G13" s="3">
        <v>2021</v>
      </c>
      <c r="H13" s="3">
        <v>2022</v>
      </c>
      <c r="I13" s="3">
        <v>2023</v>
      </c>
      <c r="K13" s="179" t="s">
        <v>295</v>
      </c>
      <c r="L13" s="179" t="s">
        <v>296</v>
      </c>
      <c r="M13" s="179" t="s">
        <v>271</v>
      </c>
      <c r="N13" s="4" t="s">
        <v>62</v>
      </c>
      <c r="P13" s="685" t="s">
        <v>305</v>
      </c>
    </row>
    <row r="14" spans="1:16" x14ac:dyDescent="0.3">
      <c r="A14" s="669"/>
      <c r="B14" s="81"/>
      <c r="C14" s="77">
        <v>12</v>
      </c>
      <c r="D14" s="77">
        <v>12</v>
      </c>
      <c r="E14" s="77">
        <v>12</v>
      </c>
      <c r="F14" s="77">
        <v>12</v>
      </c>
      <c r="G14" s="77">
        <v>12</v>
      </c>
      <c r="H14" s="77">
        <v>12</v>
      </c>
      <c r="I14" s="77">
        <v>12</v>
      </c>
      <c r="K14" s="78">
        <v>12</v>
      </c>
      <c r="L14" s="78">
        <v>12</v>
      </c>
      <c r="M14" s="78">
        <v>12</v>
      </c>
      <c r="N14" s="78">
        <f>SUM(C14:I14)</f>
        <v>84</v>
      </c>
      <c r="P14" s="685"/>
    </row>
    <row r="15" spans="1:16" s="5" customFormat="1" x14ac:dyDescent="0.3">
      <c r="A15" s="65" t="s">
        <v>21</v>
      </c>
      <c r="B15" s="70"/>
      <c r="C15" s="73">
        <f>SUM(C16:C20)</f>
        <v>543057.28237805597</v>
      </c>
      <c r="D15" s="73">
        <f>SUM(D16:D20)</f>
        <v>545543.57226738101</v>
      </c>
      <c r="E15" s="73">
        <f t="shared" ref="E15:I15" si="6">SUM(E16:E20)</f>
        <v>547856.57023056538</v>
      </c>
      <c r="F15" s="73">
        <f t="shared" si="6"/>
        <v>549449.35394043417</v>
      </c>
      <c r="G15" s="73">
        <f t="shared" si="6"/>
        <v>551021.29329535586</v>
      </c>
      <c r="H15" s="73">
        <f t="shared" si="6"/>
        <v>563421.75472342782</v>
      </c>
      <c r="I15" s="73">
        <f t="shared" si="6"/>
        <v>565008.60612732347</v>
      </c>
      <c r="J15" s="28"/>
      <c r="K15" s="214">
        <f>IFERROR(AVERAGE(C15:D15),"")</f>
        <v>544300.42732271855</v>
      </c>
      <c r="L15" s="214">
        <f t="shared" ref="L15:L16" si="7">IFERROR(AVERAGE(E15:I15),"")</f>
        <v>555351.51566342136</v>
      </c>
      <c r="M15" s="214">
        <f t="shared" ref="M15:M16" si="8">IFERROR(AVERAGE(C15:I15),"")</f>
        <v>552194.06185179204</v>
      </c>
      <c r="N15" s="214">
        <f>SUM(N16:N20)</f>
        <v>3865358.4329625443</v>
      </c>
      <c r="O15" s="28"/>
      <c r="P15" s="187"/>
    </row>
    <row r="16" spans="1:16" x14ac:dyDescent="0.3">
      <c r="A16" s="30" t="s">
        <v>16</v>
      </c>
      <c r="B16" s="71"/>
      <c r="C16" s="247">
        <v>543057.28237805597</v>
      </c>
      <c r="D16" s="247">
        <v>545543.57226738101</v>
      </c>
      <c r="E16" s="247">
        <v>547856.57023056538</v>
      </c>
      <c r="F16" s="247">
        <v>549449.35394043417</v>
      </c>
      <c r="G16" s="247">
        <v>551021.29329535586</v>
      </c>
      <c r="H16" s="247">
        <v>563421.75472342782</v>
      </c>
      <c r="I16" s="247">
        <v>565008.60612732347</v>
      </c>
      <c r="K16" s="14">
        <f t="shared" ref="K16" si="9">IFERROR(AVERAGE(C16:D16),"")</f>
        <v>544300.42732271855</v>
      </c>
      <c r="L16" s="14">
        <f t="shared" si="7"/>
        <v>555351.51566342136</v>
      </c>
      <c r="M16" s="14">
        <f t="shared" si="8"/>
        <v>552194.06185179204</v>
      </c>
      <c r="N16" s="14">
        <f t="shared" ref="N16:N20" si="10">SUM(C16:I16)</f>
        <v>3865358.4329625443</v>
      </c>
      <c r="P16" s="187"/>
    </row>
    <row r="17" spans="1:16" x14ac:dyDescent="0.3">
      <c r="A17" s="30" t="s">
        <v>16</v>
      </c>
      <c r="B17" s="71"/>
      <c r="C17" s="69"/>
      <c r="D17" s="69"/>
      <c r="E17" s="69"/>
      <c r="F17" s="69"/>
      <c r="G17" s="69"/>
      <c r="H17" s="69"/>
      <c r="I17" s="69"/>
      <c r="K17" s="14"/>
      <c r="L17" s="14"/>
      <c r="M17" s="14"/>
      <c r="N17" s="14">
        <f t="shared" si="10"/>
        <v>0</v>
      </c>
      <c r="P17" s="187"/>
    </row>
    <row r="18" spans="1:16" x14ac:dyDescent="0.3">
      <c r="A18" s="30" t="s">
        <v>16</v>
      </c>
      <c r="B18" s="71"/>
      <c r="C18" s="69"/>
      <c r="D18" s="69"/>
      <c r="E18" s="69"/>
      <c r="F18" s="69"/>
      <c r="G18" s="69"/>
      <c r="H18" s="69"/>
      <c r="I18" s="69"/>
      <c r="K18" s="14"/>
      <c r="L18" s="14"/>
      <c r="M18" s="14"/>
      <c r="N18" s="14">
        <f t="shared" si="10"/>
        <v>0</v>
      </c>
      <c r="P18" s="187"/>
    </row>
    <row r="19" spans="1:16" x14ac:dyDescent="0.3">
      <c r="A19" s="30" t="s">
        <v>16</v>
      </c>
      <c r="B19" s="71"/>
      <c r="C19" s="69"/>
      <c r="D19" s="69"/>
      <c r="E19" s="69"/>
      <c r="F19" s="69"/>
      <c r="G19" s="69"/>
      <c r="H19" s="69"/>
      <c r="I19" s="69"/>
      <c r="K19" s="206"/>
      <c r="L19" s="14"/>
      <c r="M19" s="205"/>
      <c r="N19" s="14">
        <f t="shared" si="10"/>
        <v>0</v>
      </c>
      <c r="P19" s="187"/>
    </row>
    <row r="20" spans="1:16" x14ac:dyDescent="0.3">
      <c r="A20" s="30" t="s">
        <v>16</v>
      </c>
      <c r="B20" s="71"/>
      <c r="C20" s="69"/>
      <c r="D20" s="69"/>
      <c r="E20" s="69"/>
      <c r="F20" s="69"/>
      <c r="G20" s="69"/>
      <c r="H20" s="69"/>
      <c r="I20" s="69"/>
      <c r="K20" s="206"/>
      <c r="L20" s="14"/>
      <c r="M20" s="205"/>
      <c r="N20" s="205">
        <f t="shared" si="10"/>
        <v>0</v>
      </c>
      <c r="P20" s="187"/>
    </row>
    <row r="21" spans="1:16" s="5" customFormat="1" x14ac:dyDescent="0.3">
      <c r="A21" s="65" t="s">
        <v>58</v>
      </c>
      <c r="B21" s="72"/>
      <c r="C21" s="74">
        <f t="shared" ref="C21:H21" si="11">SUM(C22:C26)</f>
        <v>145279.5016223944</v>
      </c>
      <c r="D21" s="74">
        <f t="shared" si="11"/>
        <v>146330.55950670154</v>
      </c>
      <c r="E21" s="74">
        <f t="shared" si="11"/>
        <v>147231.0593300513</v>
      </c>
      <c r="F21" s="74">
        <f t="shared" si="11"/>
        <v>148462.36813893905</v>
      </c>
      <c r="G21" s="74">
        <f t="shared" si="11"/>
        <v>149302.83437629818</v>
      </c>
      <c r="H21" s="74">
        <f t="shared" si="11"/>
        <v>151229.88878271455</v>
      </c>
      <c r="I21" s="74">
        <f>SUM(I22:I26)</f>
        <v>152488.8330695339</v>
      </c>
      <c r="J21" s="28"/>
      <c r="K21" s="225">
        <f>IFERROR(AVERAGE(C21:D21),"")</f>
        <v>145805.03056454798</v>
      </c>
      <c r="L21" s="215">
        <f t="shared" ref="L21:L22" si="12">IFERROR(AVERAGE(E21:I21),"")</f>
        <v>149742.99673950739</v>
      </c>
      <c r="M21" s="203">
        <f t="shared" ref="M21:M22" si="13">IFERROR(AVERAGE(C21:I21),"")</f>
        <v>148617.86354666186</v>
      </c>
      <c r="N21" s="203">
        <f t="shared" ref="N21" si="14">SUM(N22:N26)</f>
        <v>1040325.0448266329</v>
      </c>
      <c r="O21" s="28"/>
      <c r="P21" s="187"/>
    </row>
    <row r="22" spans="1:16" x14ac:dyDescent="0.3">
      <c r="A22" s="30" t="s">
        <v>16</v>
      </c>
      <c r="B22" s="71"/>
      <c r="C22" s="247">
        <v>145279.5016223944</v>
      </c>
      <c r="D22" s="247">
        <v>146330.55950670154</v>
      </c>
      <c r="E22" s="247">
        <v>147231.0593300513</v>
      </c>
      <c r="F22" s="247">
        <v>148462.36813893905</v>
      </c>
      <c r="G22" s="247">
        <v>149302.83437629818</v>
      </c>
      <c r="H22" s="247">
        <v>151229.88878271455</v>
      </c>
      <c r="I22" s="247">
        <v>152488.8330695339</v>
      </c>
      <c r="K22" s="206">
        <f t="shared" ref="K22" si="15">IFERROR(AVERAGE(C22:D22),"")</f>
        <v>145805.03056454798</v>
      </c>
      <c r="L22" s="14">
        <f t="shared" si="12"/>
        <v>149742.99673950739</v>
      </c>
      <c r="M22" s="205">
        <f t="shared" si="13"/>
        <v>148617.86354666186</v>
      </c>
      <c r="N22" s="205">
        <f t="shared" ref="N22:N26" si="16">SUM(C22:I22)</f>
        <v>1040325.0448266329</v>
      </c>
      <c r="P22" s="187"/>
    </row>
    <row r="23" spans="1:16" x14ac:dyDescent="0.3">
      <c r="A23" s="30" t="s">
        <v>16</v>
      </c>
      <c r="B23" s="71"/>
      <c r="C23" s="69"/>
      <c r="D23" s="69"/>
      <c r="E23" s="69"/>
      <c r="F23" s="69"/>
      <c r="G23" s="69"/>
      <c r="H23" s="69"/>
      <c r="I23" s="69"/>
      <c r="K23" s="206"/>
      <c r="L23" s="14"/>
      <c r="M23" s="205"/>
      <c r="N23" s="205">
        <f t="shared" si="16"/>
        <v>0</v>
      </c>
      <c r="P23" s="187"/>
    </row>
    <row r="24" spans="1:16" x14ac:dyDescent="0.3">
      <c r="A24" s="30" t="s">
        <v>16</v>
      </c>
      <c r="B24" s="71"/>
      <c r="C24" s="69"/>
      <c r="D24" s="69"/>
      <c r="E24" s="69"/>
      <c r="F24" s="69"/>
      <c r="G24" s="69"/>
      <c r="H24" s="69"/>
      <c r="I24" s="69"/>
      <c r="K24" s="206"/>
      <c r="L24" s="14"/>
      <c r="M24" s="205"/>
      <c r="N24" s="205">
        <f t="shared" si="16"/>
        <v>0</v>
      </c>
      <c r="P24" s="187"/>
    </row>
    <row r="25" spans="1:16" x14ac:dyDescent="0.3">
      <c r="A25" s="30" t="s">
        <v>16</v>
      </c>
      <c r="B25" s="71"/>
      <c r="C25" s="69"/>
      <c r="D25" s="69"/>
      <c r="E25" s="69"/>
      <c r="F25" s="69"/>
      <c r="G25" s="69"/>
      <c r="H25" s="69"/>
      <c r="I25" s="69"/>
      <c r="K25" s="206"/>
      <c r="L25" s="14"/>
      <c r="M25" s="205"/>
      <c r="N25" s="205">
        <f t="shared" si="16"/>
        <v>0</v>
      </c>
      <c r="P25" s="187"/>
    </row>
    <row r="26" spans="1:16" x14ac:dyDescent="0.3">
      <c r="A26" s="30" t="s">
        <v>16</v>
      </c>
      <c r="B26" s="71"/>
      <c r="C26" s="69"/>
      <c r="D26" s="69"/>
      <c r="E26" s="69"/>
      <c r="F26" s="69"/>
      <c r="G26" s="69"/>
      <c r="H26" s="69"/>
      <c r="I26" s="69"/>
      <c r="K26" s="206"/>
      <c r="L26" s="14"/>
      <c r="M26" s="205"/>
      <c r="N26" s="205">
        <f t="shared" si="16"/>
        <v>0</v>
      </c>
      <c r="P26" s="187"/>
    </row>
    <row r="27" spans="1:16" s="5" customFormat="1" x14ac:dyDescent="0.3">
      <c r="A27" s="65" t="s">
        <v>59</v>
      </c>
      <c r="B27" s="72"/>
      <c r="C27" s="74">
        <f t="shared" ref="C27:H27" si="17">SUM(C28:C32)</f>
        <v>0</v>
      </c>
      <c r="D27" s="74">
        <f t="shared" si="17"/>
        <v>0</v>
      </c>
      <c r="E27" s="74">
        <f t="shared" si="17"/>
        <v>0</v>
      </c>
      <c r="F27" s="74">
        <f t="shared" si="17"/>
        <v>0</v>
      </c>
      <c r="G27" s="74">
        <f t="shared" si="17"/>
        <v>0</v>
      </c>
      <c r="H27" s="74">
        <f t="shared" si="17"/>
        <v>0</v>
      </c>
      <c r="I27" s="74">
        <f>SUM(I28:I32)</f>
        <v>0</v>
      </c>
      <c r="J27" s="28"/>
      <c r="K27" s="225">
        <f>IFERROR(AVERAGE(C27:D27),"")</f>
        <v>0</v>
      </c>
      <c r="L27" s="215">
        <f t="shared" ref="L27:L28" si="18">IFERROR(AVERAGE(E27:I27),"")</f>
        <v>0</v>
      </c>
      <c r="M27" s="203">
        <f t="shared" ref="M27:M28" si="19">IFERROR(AVERAGE(C27:I27),"")</f>
        <v>0</v>
      </c>
      <c r="N27" s="203">
        <f t="shared" ref="N27" si="20">SUM(N28:N32)</f>
        <v>0</v>
      </c>
      <c r="O27" s="28"/>
      <c r="P27" s="187"/>
    </row>
    <row r="28" spans="1:16" x14ac:dyDescent="0.3">
      <c r="A28" s="30" t="s">
        <v>16</v>
      </c>
      <c r="B28" s="71"/>
      <c r="C28" s="69"/>
      <c r="D28" s="69"/>
      <c r="E28" s="69"/>
      <c r="F28" s="69"/>
      <c r="G28" s="69"/>
      <c r="H28" s="69"/>
      <c r="I28" s="69"/>
      <c r="K28" s="206" t="str">
        <f t="shared" ref="K28" si="21">IFERROR(AVERAGE(C28:D28),"")</f>
        <v/>
      </c>
      <c r="L28" s="14" t="str">
        <f t="shared" si="18"/>
        <v/>
      </c>
      <c r="M28" s="205" t="str">
        <f t="shared" si="19"/>
        <v/>
      </c>
      <c r="N28" s="205">
        <f t="shared" ref="N28:N32" si="22">SUM(C28:I28)</f>
        <v>0</v>
      </c>
      <c r="P28" s="187"/>
    </row>
    <row r="29" spans="1:16" x14ac:dyDescent="0.3">
      <c r="A29" s="30" t="s">
        <v>16</v>
      </c>
      <c r="B29" s="71"/>
      <c r="C29" s="69"/>
      <c r="D29" s="69"/>
      <c r="E29" s="69"/>
      <c r="F29" s="69"/>
      <c r="G29" s="69"/>
      <c r="H29" s="69"/>
      <c r="I29" s="69"/>
      <c r="K29" s="206"/>
      <c r="L29" s="14"/>
      <c r="M29" s="205"/>
      <c r="N29" s="205">
        <f t="shared" si="22"/>
        <v>0</v>
      </c>
      <c r="P29" s="187"/>
    </row>
    <row r="30" spans="1:16" x14ac:dyDescent="0.3">
      <c r="A30" s="30" t="s">
        <v>16</v>
      </c>
      <c r="B30" s="71"/>
      <c r="C30" s="69"/>
      <c r="D30" s="69"/>
      <c r="E30" s="69"/>
      <c r="F30" s="69"/>
      <c r="G30" s="69"/>
      <c r="H30" s="69"/>
      <c r="I30" s="69"/>
      <c r="K30" s="206"/>
      <c r="L30" s="14"/>
      <c r="M30" s="205"/>
      <c r="N30" s="205">
        <f t="shared" si="22"/>
        <v>0</v>
      </c>
      <c r="P30" s="187"/>
    </row>
    <row r="31" spans="1:16" x14ac:dyDescent="0.3">
      <c r="A31" s="30" t="s">
        <v>16</v>
      </c>
      <c r="B31" s="71"/>
      <c r="C31" s="69"/>
      <c r="D31" s="69"/>
      <c r="E31" s="69"/>
      <c r="F31" s="69"/>
      <c r="G31" s="69"/>
      <c r="H31" s="69"/>
      <c r="I31" s="69"/>
      <c r="K31" s="206"/>
      <c r="L31" s="14"/>
      <c r="M31" s="205"/>
      <c r="N31" s="205">
        <f t="shared" si="22"/>
        <v>0</v>
      </c>
      <c r="P31" s="187"/>
    </row>
    <row r="32" spans="1:16" x14ac:dyDescent="0.3">
      <c r="A32" s="30" t="s">
        <v>16</v>
      </c>
      <c r="B32" s="71"/>
      <c r="C32" s="69"/>
      <c r="D32" s="69"/>
      <c r="E32" s="69"/>
      <c r="F32" s="69"/>
      <c r="G32" s="69"/>
      <c r="H32" s="69"/>
      <c r="I32" s="69"/>
      <c r="K32" s="206"/>
      <c r="L32" s="14"/>
      <c r="M32" s="205"/>
      <c r="N32" s="205">
        <f t="shared" si="22"/>
        <v>0</v>
      </c>
      <c r="P32" s="187"/>
    </row>
    <row r="33" spans="1:16" x14ac:dyDescent="0.3">
      <c r="A33" s="65" t="s">
        <v>60</v>
      </c>
      <c r="B33" s="71"/>
      <c r="C33" s="74">
        <f t="shared" ref="C33:H33" si="23">SUM(C34:C38)</f>
        <v>0</v>
      </c>
      <c r="D33" s="74">
        <f t="shared" si="23"/>
        <v>0</v>
      </c>
      <c r="E33" s="74">
        <f t="shared" si="23"/>
        <v>0</v>
      </c>
      <c r="F33" s="74">
        <f t="shared" si="23"/>
        <v>0</v>
      </c>
      <c r="G33" s="74">
        <f t="shared" si="23"/>
        <v>0</v>
      </c>
      <c r="H33" s="74">
        <f t="shared" si="23"/>
        <v>0</v>
      </c>
      <c r="I33" s="74">
        <f>SUM(I34:I38)</f>
        <v>0</v>
      </c>
      <c r="K33" s="225">
        <f>IFERROR(AVERAGE(C33:D33),"")</f>
        <v>0</v>
      </c>
      <c r="L33" s="215">
        <f t="shared" ref="L33:L34" si="24">IFERROR(AVERAGE(E33:I33),"")</f>
        <v>0</v>
      </c>
      <c r="M33" s="203">
        <f t="shared" ref="M33:M34" si="25">IFERROR(AVERAGE(C33:I33),"")</f>
        <v>0</v>
      </c>
      <c r="N33" s="203">
        <f>SUM(N34:N38)</f>
        <v>0</v>
      </c>
      <c r="P33" s="187"/>
    </row>
    <row r="34" spans="1:16" x14ac:dyDescent="0.3">
      <c r="A34" s="30" t="s">
        <v>16</v>
      </c>
      <c r="B34" s="71"/>
      <c r="C34" s="69"/>
      <c r="D34" s="69"/>
      <c r="E34" s="69"/>
      <c r="F34" s="69"/>
      <c r="G34" s="69"/>
      <c r="H34" s="69"/>
      <c r="I34" s="69"/>
      <c r="K34" s="206" t="str">
        <f t="shared" ref="K34" si="26">IFERROR(AVERAGE(C34:D34),"")</f>
        <v/>
      </c>
      <c r="L34" s="14" t="str">
        <f t="shared" si="24"/>
        <v/>
      </c>
      <c r="M34" s="205" t="str">
        <f t="shared" si="25"/>
        <v/>
      </c>
      <c r="N34" s="205">
        <f t="shared" ref="N34:N37" si="27">SUM(C34:I34)</f>
        <v>0</v>
      </c>
      <c r="P34" s="187"/>
    </row>
    <row r="35" spans="1:16" x14ac:dyDescent="0.3">
      <c r="A35" s="30" t="s">
        <v>16</v>
      </c>
      <c r="B35" s="71"/>
      <c r="C35" s="69"/>
      <c r="D35" s="69"/>
      <c r="E35" s="69"/>
      <c r="F35" s="69"/>
      <c r="G35" s="69"/>
      <c r="H35" s="69"/>
      <c r="I35" s="69"/>
      <c r="K35" s="206"/>
      <c r="L35" s="14"/>
      <c r="M35" s="205"/>
      <c r="N35" s="14">
        <f>SUM(C35:I35)</f>
        <v>0</v>
      </c>
      <c r="P35" s="187"/>
    </row>
    <row r="36" spans="1:16" x14ac:dyDescent="0.3">
      <c r="A36" s="30" t="s">
        <v>16</v>
      </c>
      <c r="B36" s="71"/>
      <c r="C36" s="69"/>
      <c r="D36" s="69"/>
      <c r="E36" s="69"/>
      <c r="F36" s="69"/>
      <c r="G36" s="69"/>
      <c r="H36" s="69"/>
      <c r="I36" s="69"/>
      <c r="K36" s="14"/>
      <c r="L36" s="14"/>
      <c r="M36" s="14"/>
      <c r="N36" s="14">
        <f t="shared" si="27"/>
        <v>0</v>
      </c>
      <c r="P36" s="187"/>
    </row>
    <row r="37" spans="1:16" x14ac:dyDescent="0.3">
      <c r="A37" s="30" t="s">
        <v>16</v>
      </c>
      <c r="B37" s="71"/>
      <c r="C37" s="69"/>
      <c r="D37" s="69"/>
      <c r="E37" s="69"/>
      <c r="F37" s="69"/>
      <c r="G37" s="69"/>
      <c r="H37" s="69"/>
      <c r="I37" s="69"/>
      <c r="K37" s="14"/>
      <c r="L37" s="14"/>
      <c r="M37" s="14"/>
      <c r="N37" s="14">
        <f t="shared" si="27"/>
        <v>0</v>
      </c>
      <c r="P37" s="187"/>
    </row>
    <row r="38" spans="1:16" x14ac:dyDescent="0.3">
      <c r="A38" s="30" t="s">
        <v>16</v>
      </c>
      <c r="B38" s="71"/>
      <c r="C38" s="69"/>
      <c r="D38" s="69"/>
      <c r="E38" s="69"/>
      <c r="F38" s="69"/>
      <c r="G38" s="69"/>
      <c r="H38" s="69"/>
      <c r="I38" s="69"/>
      <c r="K38" s="14"/>
      <c r="L38" s="14"/>
      <c r="M38" s="14"/>
      <c r="N38" s="14">
        <f>SUM(C38:I38)</f>
        <v>0</v>
      </c>
      <c r="P38" s="187"/>
    </row>
    <row r="39" spans="1:16" x14ac:dyDescent="0.3">
      <c r="A39" s="18" t="s">
        <v>8</v>
      </c>
      <c r="B39" s="20"/>
      <c r="C39" s="20">
        <f>C15+C21+C27+C33</f>
        <v>688336.7840004504</v>
      </c>
      <c r="D39" s="20">
        <f t="shared" ref="D39:H39" si="28">D15+D21+D27+D33</f>
        <v>691874.13177408255</v>
      </c>
      <c r="E39" s="20">
        <f t="shared" si="28"/>
        <v>695087.62956061668</v>
      </c>
      <c r="F39" s="20">
        <f t="shared" si="28"/>
        <v>697911.7220793732</v>
      </c>
      <c r="G39" s="20">
        <f t="shared" si="28"/>
        <v>700324.1276716541</v>
      </c>
      <c r="H39" s="20">
        <f t="shared" si="28"/>
        <v>714651.64350614231</v>
      </c>
      <c r="I39" s="20">
        <f>I15+I21+I27+I33</f>
        <v>717497.43919685739</v>
      </c>
      <c r="K39" s="20">
        <f t="shared" ref="K39:N39" si="29">K15+K21+K27+K33</f>
        <v>690105.45788726653</v>
      </c>
      <c r="L39" s="20">
        <f t="shared" si="29"/>
        <v>705094.51240292878</v>
      </c>
      <c r="M39" s="20">
        <f t="shared" si="29"/>
        <v>700811.92539845384</v>
      </c>
      <c r="N39" s="20">
        <f t="shared" si="29"/>
        <v>4905683.4777891776</v>
      </c>
      <c r="P39" s="188"/>
    </row>
    <row r="40" spans="1:16" ht="14.5" x14ac:dyDescent="0.35">
      <c r="P40"/>
    </row>
    <row r="41" spans="1:16" x14ac:dyDescent="0.3">
      <c r="A41" s="42" t="s">
        <v>113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 customFormat="1" ht="14.5" x14ac:dyDescent="0.35">
      <c r="J42" s="28"/>
      <c r="O42" s="28"/>
    </row>
    <row r="43" spans="1:16" ht="13.15" customHeight="1" x14ac:dyDescent="0.3">
      <c r="A43" s="693" t="s">
        <v>201</v>
      </c>
      <c r="B43" s="678" t="s">
        <v>0</v>
      </c>
      <c r="C43" s="3">
        <v>2017</v>
      </c>
      <c r="D43" s="3">
        <v>2018</v>
      </c>
      <c r="E43" s="3">
        <v>2019</v>
      </c>
      <c r="F43" s="3">
        <v>2020</v>
      </c>
      <c r="G43" s="3">
        <v>2021</v>
      </c>
      <c r="H43" s="3">
        <v>2022</v>
      </c>
      <c r="I43" s="3">
        <v>2023</v>
      </c>
      <c r="K43" s="179" t="s">
        <v>295</v>
      </c>
      <c r="L43" s="179" t="s">
        <v>296</v>
      </c>
      <c r="M43" s="179" t="s">
        <v>271</v>
      </c>
      <c r="N43" s="4" t="s">
        <v>62</v>
      </c>
      <c r="P43" s="683" t="s">
        <v>305</v>
      </c>
    </row>
    <row r="44" spans="1:16" ht="24.65" customHeight="1" x14ac:dyDescent="0.3">
      <c r="A44" s="692"/>
      <c r="B44" s="679"/>
      <c r="C44" s="77">
        <v>12</v>
      </c>
      <c r="D44" s="77">
        <v>12</v>
      </c>
      <c r="E44" s="77">
        <v>12</v>
      </c>
      <c r="F44" s="77">
        <v>12</v>
      </c>
      <c r="G44" s="77">
        <v>12</v>
      </c>
      <c r="H44" s="77">
        <v>12</v>
      </c>
      <c r="I44" s="77">
        <v>8</v>
      </c>
      <c r="K44" s="78">
        <v>12</v>
      </c>
      <c r="L44" s="78">
        <v>12</v>
      </c>
      <c r="M44" s="78">
        <v>12</v>
      </c>
      <c r="N44" s="78">
        <f>SUM(C44:I44)</f>
        <v>80</v>
      </c>
      <c r="P44" s="684"/>
    </row>
    <row r="45" spans="1:16" s="5" customFormat="1" x14ac:dyDescent="0.3">
      <c r="A45" s="7" t="s">
        <v>66</v>
      </c>
      <c r="B45" s="8"/>
      <c r="C45" s="249">
        <v>6431.1711749999995</v>
      </c>
      <c r="D45" s="249">
        <v>6366.8594632499999</v>
      </c>
      <c r="E45" s="249">
        <v>6303.1908686174993</v>
      </c>
      <c r="F45" s="249">
        <v>6240.1589599313247</v>
      </c>
      <c r="G45" s="249">
        <v>6177.7573703320113</v>
      </c>
      <c r="H45" s="249">
        <v>6115.9797966286915</v>
      </c>
      <c r="I45" s="249">
        <v>6054.819998662404</v>
      </c>
      <c r="J45" s="28"/>
      <c r="K45" s="206">
        <f t="shared" ref="K45:K46" si="30">IFERROR(AVERAGE(C45:D45),"")</f>
        <v>6399.0153191249992</v>
      </c>
      <c r="L45" s="14">
        <f t="shared" ref="L45:L46" si="31">IFERROR(AVERAGE(E45:I45),"")</f>
        <v>6178.3813988343854</v>
      </c>
      <c r="M45" s="205">
        <f t="shared" ref="M45:M46" si="32">IFERROR(AVERAGE(C45:I45),"")</f>
        <v>6241.4196617745611</v>
      </c>
      <c r="N45" s="10">
        <f>SUM(C45:I45)</f>
        <v>43689.937632421927</v>
      </c>
      <c r="O45" s="28"/>
      <c r="P45" s="186"/>
    </row>
    <row r="46" spans="1:16" x14ac:dyDescent="0.3">
      <c r="A46" s="109" t="s">
        <v>67</v>
      </c>
      <c r="B46" s="15"/>
      <c r="C46" s="106">
        <v>0</v>
      </c>
      <c r="D46" s="106">
        <v>0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K46" s="206">
        <f t="shared" si="30"/>
        <v>0</v>
      </c>
      <c r="L46" s="14">
        <f t="shared" si="31"/>
        <v>0</v>
      </c>
      <c r="M46" s="205">
        <f t="shared" si="32"/>
        <v>0</v>
      </c>
      <c r="N46" s="16">
        <f>SUM(C46:I46)</f>
        <v>0</v>
      </c>
      <c r="P46" s="187"/>
    </row>
    <row r="47" spans="1:16" x14ac:dyDescent="0.3">
      <c r="A47" s="18" t="s">
        <v>207</v>
      </c>
      <c r="B47" s="68"/>
      <c r="C47" s="19">
        <f>C45+C46</f>
        <v>6431.1711749999995</v>
      </c>
      <c r="D47" s="19">
        <f t="shared" ref="D47:H47" si="33">D45+D46</f>
        <v>6366.8594632499999</v>
      </c>
      <c r="E47" s="19">
        <f t="shared" si="33"/>
        <v>6303.1908686174993</v>
      </c>
      <c r="F47" s="19">
        <f t="shared" si="33"/>
        <v>6240.1589599313247</v>
      </c>
      <c r="G47" s="19">
        <f t="shared" si="33"/>
        <v>6177.7573703320113</v>
      </c>
      <c r="H47" s="19">
        <f t="shared" si="33"/>
        <v>6115.9797966286915</v>
      </c>
      <c r="I47" s="19">
        <f>I45+I46</f>
        <v>6054.819998662404</v>
      </c>
      <c r="K47" s="20">
        <f t="shared" ref="K47:N47" si="34">K45+K46</f>
        <v>6399.0153191249992</v>
      </c>
      <c r="L47" s="35">
        <f t="shared" si="34"/>
        <v>6178.3813988343854</v>
      </c>
      <c r="M47" s="35">
        <f t="shared" si="34"/>
        <v>6241.4196617745611</v>
      </c>
      <c r="N47" s="35">
        <f t="shared" si="34"/>
        <v>43689.937632421927</v>
      </c>
      <c r="P47" s="202"/>
    </row>
    <row r="48" spans="1:16" x14ac:dyDescent="0.3"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P48" s="2"/>
    </row>
    <row r="49" spans="1:16" ht="14.5" x14ac:dyDescent="0.35">
      <c r="C49" s="13"/>
      <c r="D49" s="13"/>
      <c r="E49" s="13"/>
      <c r="F49" s="13"/>
      <c r="G49" s="13"/>
      <c r="H49" s="13"/>
      <c r="I49" s="13"/>
      <c r="K49" s="13"/>
      <c r="L49" s="13"/>
      <c r="M49" s="13"/>
      <c r="N49" s="13"/>
      <c r="P49"/>
    </row>
    <row r="50" spans="1:16" ht="26" x14ac:dyDescent="0.3">
      <c r="A50" s="693" t="s">
        <v>198</v>
      </c>
      <c r="B50" s="678" t="s">
        <v>0</v>
      </c>
      <c r="C50" s="3">
        <v>2017</v>
      </c>
      <c r="D50" s="3">
        <v>2018</v>
      </c>
      <c r="E50" s="3">
        <v>2019</v>
      </c>
      <c r="F50" s="3">
        <v>2020</v>
      </c>
      <c r="G50" s="3">
        <v>2021</v>
      </c>
      <c r="H50" s="3">
        <v>2022</v>
      </c>
      <c r="I50" s="3">
        <v>2023</v>
      </c>
      <c r="K50" s="179" t="s">
        <v>295</v>
      </c>
      <c r="L50" s="179" t="s">
        <v>296</v>
      </c>
      <c r="M50" s="179" t="s">
        <v>271</v>
      </c>
      <c r="N50" s="4" t="s">
        <v>62</v>
      </c>
      <c r="P50" s="683" t="s">
        <v>305</v>
      </c>
    </row>
    <row r="51" spans="1:16" x14ac:dyDescent="0.3">
      <c r="A51" s="692"/>
      <c r="B51" s="679"/>
      <c r="C51" s="77">
        <v>12</v>
      </c>
      <c r="D51" s="77">
        <v>12</v>
      </c>
      <c r="E51" s="77">
        <v>12</v>
      </c>
      <c r="F51" s="77">
        <v>12</v>
      </c>
      <c r="G51" s="77">
        <v>12</v>
      </c>
      <c r="H51" s="77">
        <v>12</v>
      </c>
      <c r="I51" s="77">
        <v>12</v>
      </c>
      <c r="K51" s="78">
        <v>12</v>
      </c>
      <c r="L51" s="78">
        <v>12</v>
      </c>
      <c r="M51" s="78">
        <v>12</v>
      </c>
      <c r="N51" s="78">
        <f>SUM(C51:I51)</f>
        <v>84</v>
      </c>
      <c r="P51" s="684"/>
    </row>
    <row r="52" spans="1:16" s="5" customFormat="1" x14ac:dyDescent="0.3">
      <c r="A52" s="21" t="s">
        <v>197</v>
      </c>
      <c r="B52" s="151"/>
      <c r="C52" s="110">
        <f>SUM(C53:C55)</f>
        <v>678567.77338605595</v>
      </c>
      <c r="D52" s="110">
        <f t="shared" ref="D52:I52" si="35">SUM(D53:D55)</f>
        <v>681054.06327538099</v>
      </c>
      <c r="E52" s="110">
        <f t="shared" si="35"/>
        <v>683367.06123856537</v>
      </c>
      <c r="F52" s="110">
        <f t="shared" si="35"/>
        <v>684959.84494843415</v>
      </c>
      <c r="G52" s="110">
        <f t="shared" si="35"/>
        <v>686531.78430335585</v>
      </c>
      <c r="H52" s="110">
        <f t="shared" si="35"/>
        <v>698932.2457314278</v>
      </c>
      <c r="I52" s="110">
        <f t="shared" si="35"/>
        <v>700519.09713532345</v>
      </c>
      <c r="J52" s="28"/>
      <c r="K52" s="177">
        <f t="shared" ref="K52:M52" si="36">SUM(K53:K55)</f>
        <v>679810.91833071853</v>
      </c>
      <c r="L52" s="24">
        <f t="shared" si="36"/>
        <v>690862.00667142135</v>
      </c>
      <c r="M52" s="110">
        <f t="shared" si="36"/>
        <v>687704.55285979202</v>
      </c>
      <c r="N52" s="24">
        <f>SUM(N53:N55)</f>
        <v>4813931.8700185446</v>
      </c>
      <c r="O52" s="28"/>
      <c r="P52" s="186"/>
    </row>
    <row r="53" spans="1:16" x14ac:dyDescent="0.3">
      <c r="A53" s="25" t="s">
        <v>1</v>
      </c>
      <c r="B53" s="12"/>
      <c r="C53" s="250">
        <v>119860.491008</v>
      </c>
      <c r="D53" s="250">
        <v>119860.491008</v>
      </c>
      <c r="E53" s="250">
        <v>119860.491008</v>
      </c>
      <c r="F53" s="250">
        <v>119860.491008</v>
      </c>
      <c r="G53" s="250">
        <v>119860.491008</v>
      </c>
      <c r="H53" s="250">
        <v>119860.491008</v>
      </c>
      <c r="I53" s="250">
        <v>119860.491008</v>
      </c>
      <c r="K53" s="206">
        <f t="shared" ref="K53:K55" si="37">IFERROR(AVERAGE(C53:D53),"")</f>
        <v>119860.491008</v>
      </c>
      <c r="L53" s="14">
        <f t="shared" ref="L53:L55" si="38">IFERROR(AVERAGE(E53:I53),"")</f>
        <v>119860.49100800001</v>
      </c>
      <c r="M53" s="205">
        <f t="shared" ref="M53:M55" si="39">IFERROR(AVERAGE(C53:I53),"")</f>
        <v>119860.491008</v>
      </c>
      <c r="N53" s="14">
        <f>SUM(C53:I53)</f>
        <v>839023.437056</v>
      </c>
      <c r="P53" s="186" t="str">
        <f>'2. CEP offre de base'!L22</f>
        <v>Formule CV Indices G, R et S (1+C)</v>
      </c>
    </row>
    <row r="54" spans="1:16" x14ac:dyDescent="0.3">
      <c r="A54" s="25" t="s">
        <v>167</v>
      </c>
      <c r="B54" s="12"/>
      <c r="C54" s="250">
        <f>C15</f>
        <v>543057.28237805597</v>
      </c>
      <c r="D54" s="250">
        <f t="shared" ref="D54:I54" si="40">D15</f>
        <v>545543.57226738101</v>
      </c>
      <c r="E54" s="250">
        <f t="shared" si="40"/>
        <v>547856.57023056538</v>
      </c>
      <c r="F54" s="250">
        <f t="shared" si="40"/>
        <v>549449.35394043417</v>
      </c>
      <c r="G54" s="250">
        <f t="shared" si="40"/>
        <v>551021.29329535586</v>
      </c>
      <c r="H54" s="250">
        <f t="shared" si="40"/>
        <v>563421.75472342782</v>
      </c>
      <c r="I54" s="250">
        <f t="shared" si="40"/>
        <v>565008.60612732347</v>
      </c>
      <c r="K54" s="206">
        <f t="shared" si="37"/>
        <v>544300.42732271855</v>
      </c>
      <c r="L54" s="14">
        <f t="shared" si="38"/>
        <v>555351.51566342136</v>
      </c>
      <c r="M54" s="205">
        <f t="shared" si="39"/>
        <v>552194.06185179204</v>
      </c>
      <c r="N54" s="14">
        <f t="shared" ref="N54:N55" si="41">SUM(C54:I54)</f>
        <v>3865358.4329625443</v>
      </c>
      <c r="P54" s="187" t="str">
        <f>'2. CEP offre de base'!L23</f>
        <v>Formule CV Indice S (1+C)</v>
      </c>
    </row>
    <row r="55" spans="1:16" x14ac:dyDescent="0.3">
      <c r="A55" s="25" t="s">
        <v>2</v>
      </c>
      <c r="B55" s="12"/>
      <c r="C55" s="250">
        <v>15650</v>
      </c>
      <c r="D55" s="250">
        <v>15650</v>
      </c>
      <c r="E55" s="250">
        <v>15650</v>
      </c>
      <c r="F55" s="250">
        <v>15650</v>
      </c>
      <c r="G55" s="250">
        <v>15650</v>
      </c>
      <c r="H55" s="250">
        <v>15650</v>
      </c>
      <c r="I55" s="250">
        <v>15650</v>
      </c>
      <c r="K55" s="206">
        <f t="shared" si="37"/>
        <v>15650</v>
      </c>
      <c r="L55" s="14">
        <f t="shared" si="38"/>
        <v>15650</v>
      </c>
      <c r="M55" s="205">
        <f t="shared" si="39"/>
        <v>15650</v>
      </c>
      <c r="N55" s="14">
        <f t="shared" si="41"/>
        <v>109550</v>
      </c>
      <c r="P55" s="187" t="str">
        <f>'2. CEP offre de base'!L24</f>
        <v>Formule CV Indice R</v>
      </c>
    </row>
    <row r="56" spans="1:16" s="5" customFormat="1" x14ac:dyDescent="0.3">
      <c r="A56" s="21" t="s">
        <v>199</v>
      </c>
      <c r="B56" s="151"/>
      <c r="C56" s="23">
        <f>SUM(C57:C64)</f>
        <v>229102.38213286991</v>
      </c>
      <c r="D56" s="23">
        <f t="shared" ref="D56:H56" si="42">SUM(D57:D64)</f>
        <v>219444.84976722742</v>
      </c>
      <c r="E56" s="23">
        <f t="shared" si="42"/>
        <v>221499.89533928162</v>
      </c>
      <c r="F56" s="23">
        <f t="shared" si="42"/>
        <v>231687.48465355125</v>
      </c>
      <c r="G56" s="23">
        <f t="shared" si="42"/>
        <v>231874.82056784979</v>
      </c>
      <c r="H56" s="23">
        <f t="shared" si="42"/>
        <v>237694.41800009855</v>
      </c>
      <c r="I56" s="23">
        <f>SUM(I57:I64)</f>
        <v>235286.64520602266</v>
      </c>
      <c r="J56" s="28"/>
      <c r="K56" s="177">
        <f t="shared" ref="K56:M56" si="43">SUM(K57:K64)</f>
        <v>224273.61595004873</v>
      </c>
      <c r="L56" s="24">
        <f t="shared" si="43"/>
        <v>231608.6527533608</v>
      </c>
      <c r="M56" s="23">
        <f t="shared" si="43"/>
        <v>229512.92795241449</v>
      </c>
      <c r="N56" s="24">
        <f>SUM(N57:N64)</f>
        <v>1606590.4956669013</v>
      </c>
      <c r="O56" s="28"/>
      <c r="P56" s="188"/>
    </row>
    <row r="57" spans="1:16" x14ac:dyDescent="0.3">
      <c r="A57" s="25" t="s">
        <v>3</v>
      </c>
      <c r="B57" s="12"/>
      <c r="C57" s="250">
        <v>10218.71725229504</v>
      </c>
      <c r="D57" s="250">
        <v>10137.966494409398</v>
      </c>
      <c r="E57" s="250">
        <v>10187.033446954036</v>
      </c>
      <c r="F57" s="250">
        <v>10319.48984162106</v>
      </c>
      <c r="G57" s="250">
        <v>10339.209614563799</v>
      </c>
      <c r="H57" s="250">
        <v>10544.113923644778</v>
      </c>
      <c r="I57" s="250">
        <v>10534.807918438601</v>
      </c>
      <c r="K57" s="206">
        <f t="shared" ref="K57:K64" si="44">IFERROR(AVERAGE(C57:D57),"")</f>
        <v>10178.341873352219</v>
      </c>
      <c r="L57" s="14">
        <f t="shared" ref="L57:L64" si="45">IFERROR(AVERAGE(E57:I57),"")</f>
        <v>10384.930949044454</v>
      </c>
      <c r="M57" s="205">
        <f t="shared" ref="M57:M64" si="46">IFERROR(AVERAGE(C57:I57),"")</f>
        <v>10325.905498846672</v>
      </c>
      <c r="N57" s="14">
        <f t="shared" ref="N57:N63" si="47">SUM(C57:I57)</f>
        <v>72281.338491926712</v>
      </c>
      <c r="P57" s="187" t="str">
        <f>'2. CEP offre de base'!L26</f>
        <v>Formule Cf Indice FG</v>
      </c>
    </row>
    <row r="58" spans="1:16" x14ac:dyDescent="0.3">
      <c r="A58" s="25" t="s">
        <v>166</v>
      </c>
      <c r="B58" s="12"/>
      <c r="C58" s="250">
        <f>C21</f>
        <v>145279.5016223944</v>
      </c>
      <c r="D58" s="250">
        <f t="shared" ref="D58:I58" si="48">D21</f>
        <v>146330.55950670154</v>
      </c>
      <c r="E58" s="250">
        <f t="shared" si="48"/>
        <v>147231.0593300513</v>
      </c>
      <c r="F58" s="250">
        <f t="shared" si="48"/>
        <v>148462.36813893905</v>
      </c>
      <c r="G58" s="250">
        <f t="shared" si="48"/>
        <v>149302.83437629818</v>
      </c>
      <c r="H58" s="250">
        <f t="shared" si="48"/>
        <v>151229.88878271455</v>
      </c>
      <c r="I58" s="250">
        <f t="shared" si="48"/>
        <v>152488.8330695339</v>
      </c>
      <c r="K58" s="206">
        <f t="shared" si="44"/>
        <v>145805.03056454798</v>
      </c>
      <c r="L58" s="14">
        <f t="shared" si="45"/>
        <v>149742.99673950739</v>
      </c>
      <c r="M58" s="205">
        <f t="shared" si="46"/>
        <v>148617.86354666186</v>
      </c>
      <c r="N58" s="14">
        <f t="shared" si="47"/>
        <v>1040325.0448266329</v>
      </c>
      <c r="P58" s="187" t="str">
        <f>'2. CEP offre de base'!L28</f>
        <v>Formule Cf Indice S (1+C)</v>
      </c>
    </row>
    <row r="59" spans="1:16" x14ac:dyDescent="0.3">
      <c r="A59" s="25" t="s">
        <v>4</v>
      </c>
      <c r="B59" s="12"/>
      <c r="C59" s="250">
        <v>18153.403110378516</v>
      </c>
      <c r="D59" s="250">
        <v>18009.978260852167</v>
      </c>
      <c r="E59" s="250">
        <v>18097.339131556942</v>
      </c>
      <c r="F59" s="250">
        <v>18332.946592039709</v>
      </c>
      <c r="G59" s="250">
        <v>18368.132097424113</v>
      </c>
      <c r="H59" s="250">
        <v>18732.533274630528</v>
      </c>
      <c r="I59" s="250">
        <v>18716.114846826924</v>
      </c>
      <c r="K59" s="206">
        <f t="shared" si="44"/>
        <v>18081.690685615344</v>
      </c>
      <c r="L59" s="14">
        <f t="shared" si="45"/>
        <v>18449.41318849564</v>
      </c>
      <c r="M59" s="205">
        <f t="shared" si="46"/>
        <v>18344.34961624413</v>
      </c>
      <c r="N59" s="14">
        <f t="shared" si="47"/>
        <v>128410.44731370891</v>
      </c>
      <c r="P59" s="187" t="str">
        <f>'2. CEP offre de base'!L29</f>
        <v>Formule Cf Indice S (1+C)</v>
      </c>
    </row>
    <row r="60" spans="1:16" x14ac:dyDescent="0.3">
      <c r="A60" s="25" t="s">
        <v>5</v>
      </c>
      <c r="B60" s="12"/>
      <c r="C60" s="250">
        <v>13955.369830487494</v>
      </c>
      <c r="D60" s="250">
        <v>12727.69197929553</v>
      </c>
      <c r="E60" s="250">
        <v>13589.430102310944</v>
      </c>
      <c r="F60" s="250">
        <v>14938.399031550443</v>
      </c>
      <c r="G60" s="250">
        <v>14167.379827362287</v>
      </c>
      <c r="H60" s="250">
        <v>16838.323226055927</v>
      </c>
      <c r="I60" s="250">
        <v>13226.720286349842</v>
      </c>
      <c r="K60" s="206">
        <f t="shared" si="44"/>
        <v>13341.530904891511</v>
      </c>
      <c r="L60" s="14">
        <f t="shared" si="45"/>
        <v>14552.050494725889</v>
      </c>
      <c r="M60" s="205">
        <f t="shared" si="46"/>
        <v>14206.187754773209</v>
      </c>
      <c r="N60" s="14">
        <f t="shared" si="47"/>
        <v>99443.314283412459</v>
      </c>
      <c r="P60" s="187" t="str">
        <f>'2. CEP offre de base'!L30</f>
        <v>Formule Cf Indice FG</v>
      </c>
    </row>
    <row r="61" spans="1:16" x14ac:dyDescent="0.3">
      <c r="A61" s="25" t="s">
        <v>176</v>
      </c>
      <c r="B61" s="12"/>
      <c r="C61" s="13"/>
      <c r="D61" s="13"/>
      <c r="E61" s="13"/>
      <c r="F61" s="13"/>
      <c r="G61" s="13"/>
      <c r="H61" s="13"/>
      <c r="I61" s="13"/>
      <c r="K61" s="206" t="str">
        <f t="shared" si="44"/>
        <v/>
      </c>
      <c r="L61" s="14" t="str">
        <f t="shared" si="45"/>
        <v/>
      </c>
      <c r="M61" s="205" t="str">
        <f t="shared" si="46"/>
        <v/>
      </c>
      <c r="N61" s="14">
        <f t="shared" si="47"/>
        <v>0</v>
      </c>
      <c r="P61" s="187"/>
    </row>
    <row r="62" spans="1:16" ht="12.25" customHeight="1" x14ac:dyDescent="0.3">
      <c r="A62" s="25" t="s">
        <v>182</v>
      </c>
      <c r="B62" s="12"/>
      <c r="C62" s="13"/>
      <c r="D62" s="13"/>
      <c r="E62" s="13"/>
      <c r="F62" s="13"/>
      <c r="G62" s="13"/>
      <c r="H62" s="13"/>
      <c r="I62" s="13"/>
      <c r="K62" s="206" t="str">
        <f t="shared" si="44"/>
        <v/>
      </c>
      <c r="L62" s="14" t="str">
        <f t="shared" si="45"/>
        <v/>
      </c>
      <c r="M62" s="205" t="str">
        <f t="shared" si="46"/>
        <v/>
      </c>
      <c r="N62" s="14">
        <f t="shared" si="47"/>
        <v>0</v>
      </c>
      <c r="P62" s="187"/>
    </row>
    <row r="63" spans="1:16" x14ac:dyDescent="0.3">
      <c r="A63" s="25" t="s">
        <v>6</v>
      </c>
      <c r="B63" s="12"/>
      <c r="C63" s="250">
        <v>24703.492440214271</v>
      </c>
      <c r="D63" s="250">
        <v>15579.423634680603</v>
      </c>
      <c r="E63" s="250">
        <v>15654.994631718542</v>
      </c>
      <c r="F63" s="250">
        <v>22676.305451764398</v>
      </c>
      <c r="G63" s="250">
        <v>22706.742462084148</v>
      </c>
      <c r="H63" s="250">
        <v>23021.965514019488</v>
      </c>
      <c r="I63" s="250">
        <v>23007.762851558553</v>
      </c>
      <c r="K63" s="206">
        <f t="shared" si="44"/>
        <v>20141.458037447439</v>
      </c>
      <c r="L63" s="14">
        <f t="shared" si="45"/>
        <v>21413.554182229025</v>
      </c>
      <c r="M63" s="205">
        <f t="shared" si="46"/>
        <v>21050.098140862861</v>
      </c>
      <c r="N63" s="14">
        <f t="shared" si="47"/>
        <v>147350.68698604003</v>
      </c>
      <c r="P63" s="187" t="str">
        <f>'2. CEP offre de base'!L33</f>
        <v>Formule Cf Indice ING</v>
      </c>
    </row>
    <row r="64" spans="1:16" s="5" customFormat="1" x14ac:dyDescent="0.3">
      <c r="A64" s="25" t="s">
        <v>196</v>
      </c>
      <c r="B64" s="12"/>
      <c r="C64" s="250">
        <v>16791.897877100215</v>
      </c>
      <c r="D64" s="250">
        <v>16659.229891288185</v>
      </c>
      <c r="E64" s="250">
        <v>16740.038696689855</v>
      </c>
      <c r="F64" s="250">
        <v>16957.975597636581</v>
      </c>
      <c r="G64" s="250">
        <v>16990.522190117266</v>
      </c>
      <c r="H64" s="250">
        <v>17327.59327903331</v>
      </c>
      <c r="I64" s="250">
        <v>17312.406233314839</v>
      </c>
      <c r="J64" s="28"/>
      <c r="K64" s="206">
        <f t="shared" si="44"/>
        <v>16725.563884194198</v>
      </c>
      <c r="L64" s="14">
        <f t="shared" si="45"/>
        <v>17065.70719935837</v>
      </c>
      <c r="M64" s="205">
        <f t="shared" si="46"/>
        <v>16968.52339502575</v>
      </c>
      <c r="N64" s="14">
        <f>SUM(C64:I64)</f>
        <v>118779.66376518024</v>
      </c>
      <c r="O64" s="28"/>
      <c r="P64" s="187"/>
    </row>
    <row r="65" spans="1:16" x14ac:dyDescent="0.3">
      <c r="A65" s="21" t="s">
        <v>200</v>
      </c>
      <c r="B65" s="151"/>
      <c r="C65" s="23"/>
      <c r="D65" s="23"/>
      <c r="E65" s="23"/>
      <c r="F65" s="23"/>
      <c r="G65" s="23"/>
      <c r="H65" s="23"/>
      <c r="I65" s="23"/>
      <c r="K65" s="177"/>
      <c r="L65" s="24"/>
      <c r="M65" s="23"/>
      <c r="N65" s="24"/>
      <c r="P65" s="188"/>
    </row>
    <row r="66" spans="1:16" x14ac:dyDescent="0.3">
      <c r="A66" s="18" t="s">
        <v>208</v>
      </c>
      <c r="B66" s="68"/>
      <c r="C66" s="19">
        <f>C52+C56+C65</f>
        <v>907670.15551892587</v>
      </c>
      <c r="D66" s="19">
        <f t="shared" ref="D66:I66" si="49">D52+D56+D65</f>
        <v>900498.91304260842</v>
      </c>
      <c r="E66" s="19">
        <f t="shared" si="49"/>
        <v>904866.95657784701</v>
      </c>
      <c r="F66" s="19">
        <f t="shared" si="49"/>
        <v>916647.3296019854</v>
      </c>
      <c r="G66" s="19">
        <f t="shared" si="49"/>
        <v>918406.60487120564</v>
      </c>
      <c r="H66" s="19">
        <f t="shared" si="49"/>
        <v>936626.66373152635</v>
      </c>
      <c r="I66" s="19">
        <f t="shared" si="49"/>
        <v>935805.74234134611</v>
      </c>
      <c r="J66" s="226"/>
      <c r="K66" s="35">
        <f t="shared" ref="K66:N66" si="50">K52+K56+K65</f>
        <v>904084.5342807672</v>
      </c>
      <c r="L66" s="35">
        <f t="shared" si="50"/>
        <v>922470.65942478215</v>
      </c>
      <c r="M66" s="35">
        <f t="shared" si="50"/>
        <v>917217.48081220652</v>
      </c>
      <c r="N66" s="35">
        <f t="shared" si="50"/>
        <v>6420522.3656854462</v>
      </c>
      <c r="O66" s="226"/>
      <c r="P66" s="202"/>
    </row>
    <row r="67" spans="1:16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3">
      <c r="A68" s="111" t="s">
        <v>202</v>
      </c>
      <c r="B68" s="112"/>
      <c r="C68" s="236">
        <f>C64/C66</f>
        <v>1.8500000000000096E-2</v>
      </c>
      <c r="D68" s="236">
        <f t="shared" ref="D68:I68" si="51">D64/D66</f>
        <v>1.8499999999999923E-2</v>
      </c>
      <c r="E68" s="236">
        <f t="shared" si="51"/>
        <v>1.8499999999999652E-2</v>
      </c>
      <c r="F68" s="236">
        <f t="shared" si="51"/>
        <v>1.8499999999999839E-2</v>
      </c>
      <c r="G68" s="236">
        <f t="shared" si="51"/>
        <v>1.8499999999999957E-2</v>
      </c>
      <c r="H68" s="236">
        <f t="shared" si="51"/>
        <v>1.8500000000000079E-2</v>
      </c>
      <c r="I68" s="237">
        <f t="shared" si="51"/>
        <v>1.8499999999999933E-2</v>
      </c>
      <c r="K68" s="239">
        <f t="shared" ref="K68:N68" si="52">K64/K66</f>
        <v>1.8500000000000006E-2</v>
      </c>
      <c r="L68" s="237">
        <f t="shared" si="52"/>
        <v>1.8499999999999892E-2</v>
      </c>
      <c r="M68" s="237">
        <f t="shared" si="52"/>
        <v>1.8499999999999923E-2</v>
      </c>
      <c r="N68" s="239">
        <f t="shared" si="52"/>
        <v>1.8499999999999919E-2</v>
      </c>
    </row>
    <row r="70" spans="1:16" x14ac:dyDescent="0.3">
      <c r="B70" s="17" t="s">
        <v>329</v>
      </c>
      <c r="C70" s="28">
        <f>+C54/50213</f>
        <v>10.815073434729173</v>
      </c>
      <c r="D70" s="28">
        <f t="shared" ref="D70:I70" si="53">+D54/50213</f>
        <v>10.864588299193057</v>
      </c>
      <c r="E70" s="28">
        <f t="shared" si="53"/>
        <v>10.910652026976388</v>
      </c>
      <c r="F70" s="28">
        <f t="shared" si="53"/>
        <v>10.94237257165344</v>
      </c>
      <c r="G70" s="28">
        <f t="shared" si="53"/>
        <v>10.973677997637182</v>
      </c>
      <c r="H70" s="28">
        <f t="shared" si="53"/>
        <v>11.220635188565268</v>
      </c>
      <c r="I70" s="28">
        <f t="shared" si="53"/>
        <v>11.252237590411317</v>
      </c>
    </row>
    <row r="71" spans="1:16" x14ac:dyDescent="0.3">
      <c r="C71" s="234"/>
      <c r="D71" s="234"/>
      <c r="E71" s="234"/>
      <c r="F71" s="234"/>
      <c r="G71" s="234"/>
      <c r="H71" s="234"/>
      <c r="I71" s="234"/>
    </row>
  </sheetData>
  <mergeCells count="11">
    <mergeCell ref="P5:P6"/>
    <mergeCell ref="P13:P14"/>
    <mergeCell ref="P43:P44"/>
    <mergeCell ref="P50:P51"/>
    <mergeCell ref="A50:A51"/>
    <mergeCell ref="B50:B51"/>
    <mergeCell ref="A1:N1"/>
    <mergeCell ref="A5:A6"/>
    <mergeCell ref="A13:A14"/>
    <mergeCell ref="A43:A44"/>
    <mergeCell ref="B43:B4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&amp;L&amp;F&amp;R&amp;A</oddHeader>
    <oddFooter>&amp;L&amp;D&amp;C&amp;P/&amp;N&amp;R&amp;T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/>
    <pageSetUpPr fitToPage="1"/>
  </sheetPr>
  <dimension ref="A1:L198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x14ac:dyDescent="0.3"/>
  <cols>
    <col min="1" max="1" width="32.453125" style="2" customWidth="1"/>
    <col min="2" max="2" width="11.453125" style="2" customWidth="1"/>
    <col min="3" max="10" width="9.26953125" style="11" customWidth="1"/>
    <col min="11" max="11" width="6.7265625" style="2" customWidth="1"/>
    <col min="12" max="12" width="20.1796875" style="11" customWidth="1"/>
    <col min="13" max="16384" width="11.26953125" style="2"/>
  </cols>
  <sheetData>
    <row r="1" spans="1:12" ht="29.5" customHeight="1" x14ac:dyDescent="0.3">
      <c r="A1" s="664" t="s">
        <v>525</v>
      </c>
      <c r="B1" s="665"/>
      <c r="C1" s="665"/>
      <c r="D1" s="665"/>
      <c r="E1" s="665"/>
      <c r="F1" s="665"/>
      <c r="G1" s="665"/>
      <c r="H1" s="665"/>
      <c r="I1" s="665"/>
      <c r="J1" s="704"/>
      <c r="L1" s="192" t="s">
        <v>304</v>
      </c>
    </row>
    <row r="2" spans="1:12" x14ac:dyDescent="0.3">
      <c r="C2" s="2"/>
      <c r="D2" s="2"/>
      <c r="E2" s="2"/>
      <c r="F2" s="2"/>
      <c r="G2" s="2"/>
      <c r="H2" s="2"/>
      <c r="I2" s="2"/>
    </row>
    <row r="3" spans="1:12" x14ac:dyDescent="0.3">
      <c r="A3" s="42" t="s">
        <v>74</v>
      </c>
      <c r="B3" s="43"/>
      <c r="C3" s="44"/>
      <c r="D3" s="44"/>
      <c r="E3" s="44"/>
      <c r="F3" s="44"/>
      <c r="G3" s="44"/>
      <c r="H3" s="44"/>
      <c r="I3" s="44"/>
      <c r="J3" s="44"/>
      <c r="L3" s="2"/>
    </row>
    <row r="4" spans="1:12" customFormat="1" ht="14.5" x14ac:dyDescent="0.35">
      <c r="K4" s="2"/>
      <c r="L4" s="2"/>
    </row>
    <row r="5" spans="1:12" ht="26" x14ac:dyDescent="0.3">
      <c r="A5" s="668" t="s">
        <v>233</v>
      </c>
      <c r="B5" s="702"/>
      <c r="C5" s="638">
        <f>Annee</f>
        <v>2024</v>
      </c>
      <c r="D5" s="590">
        <f>C5+1</f>
        <v>2025</v>
      </c>
      <c r="E5" s="590">
        <f t="shared" ref="E5:G5" si="0">D5+1</f>
        <v>2026</v>
      </c>
      <c r="F5" s="590">
        <f t="shared" si="0"/>
        <v>2027</v>
      </c>
      <c r="G5" s="590">
        <f t="shared" si="0"/>
        <v>2028</v>
      </c>
      <c r="H5" s="591">
        <f>G5+1</f>
        <v>2029</v>
      </c>
      <c r="I5" s="179" t="s">
        <v>271</v>
      </c>
      <c r="J5" s="179" t="s">
        <v>62</v>
      </c>
      <c r="K5" s="11"/>
      <c r="L5" s="683" t="s">
        <v>305</v>
      </c>
    </row>
    <row r="6" spans="1:12" x14ac:dyDescent="0.3">
      <c r="A6" s="669"/>
      <c r="B6" s="703"/>
      <c r="C6" s="645">
        <v>12</v>
      </c>
      <c r="D6" s="343">
        <v>12</v>
      </c>
      <c r="E6" s="343">
        <v>12</v>
      </c>
      <c r="F6" s="343">
        <v>12</v>
      </c>
      <c r="G6" s="343">
        <v>12</v>
      </c>
      <c r="H6" s="117">
        <v>12</v>
      </c>
      <c r="I6" s="198">
        <f t="shared" ref="I6:I8" si="1">IFERROR(AVERAGE(C6:H6),0)</f>
        <v>12</v>
      </c>
      <c r="J6" s="198">
        <f t="shared" ref="J6:J8" si="2">SUM(C6:H6)</f>
        <v>72</v>
      </c>
      <c r="K6" s="11"/>
      <c r="L6" s="699"/>
    </row>
    <row r="7" spans="1:12" x14ac:dyDescent="0.3">
      <c r="A7" s="36" t="s">
        <v>234</v>
      </c>
      <c r="B7" s="37"/>
      <c r="C7" s="327">
        <v>90</v>
      </c>
      <c r="D7" s="327">
        <v>90</v>
      </c>
      <c r="E7" s="327">
        <v>100</v>
      </c>
      <c r="F7" s="327">
        <v>100</v>
      </c>
      <c r="G7" s="327">
        <v>120</v>
      </c>
      <c r="H7" s="328">
        <v>120</v>
      </c>
      <c r="I7" s="10">
        <f t="shared" si="1"/>
        <v>103.33333333333333</v>
      </c>
      <c r="J7" s="189">
        <f t="shared" si="2"/>
        <v>620</v>
      </c>
      <c r="K7" s="6"/>
      <c r="L7" s="186"/>
    </row>
    <row r="8" spans="1:12" x14ac:dyDescent="0.3">
      <c r="A8" s="59" t="s">
        <v>105</v>
      </c>
      <c r="B8" s="79"/>
      <c r="C8" s="330">
        <v>63525</v>
      </c>
      <c r="D8" s="330">
        <v>69300</v>
      </c>
      <c r="E8" s="330">
        <v>78000</v>
      </c>
      <c r="F8" s="330">
        <v>84000</v>
      </c>
      <c r="G8" s="330">
        <v>112950</v>
      </c>
      <c r="H8" s="331">
        <v>120480</v>
      </c>
      <c r="I8" s="16">
        <f t="shared" si="1"/>
        <v>88042.5</v>
      </c>
      <c r="J8" s="194">
        <f t="shared" si="2"/>
        <v>528255</v>
      </c>
      <c r="L8" s="202"/>
    </row>
    <row r="9" spans="1:12" customFormat="1" ht="14.5" x14ac:dyDescent="0.35">
      <c r="K9" s="2"/>
    </row>
    <row r="10" spans="1:12" ht="14.5" x14ac:dyDescent="0.35">
      <c r="A10" s="42" t="s">
        <v>106</v>
      </c>
      <c r="B10" s="43"/>
      <c r="C10" s="44"/>
      <c r="D10" s="44"/>
      <c r="E10" s="44"/>
      <c r="F10" s="44"/>
      <c r="G10" s="44"/>
      <c r="H10" s="44"/>
      <c r="I10" s="44"/>
      <c r="J10" s="44"/>
      <c r="L10"/>
    </row>
    <row r="11" spans="1:12" customFormat="1" ht="14.5" x14ac:dyDescent="0.35">
      <c r="K11" s="2"/>
    </row>
    <row r="12" spans="1:12" ht="26" x14ac:dyDescent="0.3">
      <c r="A12" s="668" t="s">
        <v>203</v>
      </c>
      <c r="B12" s="702" t="s">
        <v>354</v>
      </c>
      <c r="C12" s="3">
        <f>Annee</f>
        <v>2024</v>
      </c>
      <c r="D12" s="291">
        <f>C12+1</f>
        <v>2025</v>
      </c>
      <c r="E12" s="291">
        <f t="shared" ref="E12:G12" si="3">D12+1</f>
        <v>2026</v>
      </c>
      <c r="F12" s="291">
        <f t="shared" si="3"/>
        <v>2027</v>
      </c>
      <c r="G12" s="291">
        <f t="shared" si="3"/>
        <v>2028</v>
      </c>
      <c r="H12" s="295">
        <f>G12+1</f>
        <v>2029</v>
      </c>
      <c r="I12" s="179" t="s">
        <v>271</v>
      </c>
      <c r="J12" s="179" t="s">
        <v>62</v>
      </c>
      <c r="K12" s="5"/>
      <c r="L12" s="683" t="s">
        <v>305</v>
      </c>
    </row>
    <row r="13" spans="1:12" x14ac:dyDescent="0.3">
      <c r="A13" s="669"/>
      <c r="B13" s="703"/>
      <c r="C13" s="343">
        <v>12</v>
      </c>
      <c r="D13" s="343">
        <v>12</v>
      </c>
      <c r="E13" s="343">
        <v>12</v>
      </c>
      <c r="F13" s="343">
        <v>12</v>
      </c>
      <c r="G13" s="343">
        <v>12</v>
      </c>
      <c r="H13" s="117">
        <v>12</v>
      </c>
      <c r="I13" s="198">
        <f t="shared" ref="I13:I19" si="4">IFERROR(AVERAGE(C13:H13),0)</f>
        <v>12</v>
      </c>
      <c r="J13" s="198">
        <f t="shared" ref="J13:J19" si="5">SUM(C13:H13)</f>
        <v>72</v>
      </c>
      <c r="L13" s="699"/>
    </row>
    <row r="14" spans="1:12" x14ac:dyDescent="0.3">
      <c r="A14" s="41" t="s">
        <v>291</v>
      </c>
      <c r="B14" s="37">
        <f>IFERROR(J14/J$7,"-")</f>
        <v>62.105645161290326</v>
      </c>
      <c r="C14" s="324">
        <v>5285</v>
      </c>
      <c r="D14" s="324">
        <v>5537.5</v>
      </c>
      <c r="E14" s="324">
        <v>5200</v>
      </c>
      <c r="F14" s="324">
        <v>5600</v>
      </c>
      <c r="G14" s="324">
        <v>8979</v>
      </c>
      <c r="H14" s="326">
        <v>7904</v>
      </c>
      <c r="I14" s="10">
        <f t="shared" si="4"/>
        <v>6417.583333333333</v>
      </c>
      <c r="J14" s="199">
        <f t="shared" si="5"/>
        <v>38505.5</v>
      </c>
      <c r="L14" s="186"/>
    </row>
    <row r="15" spans="1:12" x14ac:dyDescent="0.3">
      <c r="A15" s="41" t="s">
        <v>294</v>
      </c>
      <c r="B15" s="37">
        <f t="shared" ref="B15:B19" si="6">IFERROR(J15/J$7,"-")</f>
        <v>0</v>
      </c>
      <c r="C15" s="327">
        <v>0</v>
      </c>
      <c r="D15" s="327">
        <v>0</v>
      </c>
      <c r="E15" s="327">
        <v>0</v>
      </c>
      <c r="F15" s="327">
        <v>0</v>
      </c>
      <c r="G15" s="327">
        <v>0</v>
      </c>
      <c r="H15" s="328">
        <v>0</v>
      </c>
      <c r="I15" s="14">
        <f t="shared" si="4"/>
        <v>0</v>
      </c>
      <c r="J15" s="39">
        <f t="shared" si="5"/>
        <v>0</v>
      </c>
      <c r="L15" s="187"/>
    </row>
    <row r="16" spans="1:12" x14ac:dyDescent="0.3">
      <c r="A16" s="344" t="s">
        <v>512</v>
      </c>
      <c r="B16" s="37">
        <f t="shared" si="6"/>
        <v>28.035483870967742</v>
      </c>
      <c r="C16" s="327">
        <v>2897</v>
      </c>
      <c r="D16" s="327">
        <v>2897</v>
      </c>
      <c r="E16" s="327">
        <v>2897</v>
      </c>
      <c r="F16" s="327">
        <v>2897</v>
      </c>
      <c r="G16" s="327">
        <v>2897</v>
      </c>
      <c r="H16" s="328">
        <v>2897</v>
      </c>
      <c r="I16" s="14">
        <f t="shared" si="4"/>
        <v>2897</v>
      </c>
      <c r="J16" s="39">
        <f t="shared" si="5"/>
        <v>17382</v>
      </c>
      <c r="K16" s="5"/>
      <c r="L16" s="187"/>
    </row>
    <row r="17" spans="1:12" x14ac:dyDescent="0.3">
      <c r="A17" s="344" t="s">
        <v>530</v>
      </c>
      <c r="B17" s="37">
        <f t="shared" si="6"/>
        <v>21.012612903225811</v>
      </c>
      <c r="C17" s="327">
        <v>2587.9700000000003</v>
      </c>
      <c r="D17" s="327">
        <v>2087.9700000000003</v>
      </c>
      <c r="E17" s="327">
        <v>2087.9700000000003</v>
      </c>
      <c r="F17" s="327">
        <v>2087.9700000000003</v>
      </c>
      <c r="G17" s="327">
        <v>2087.9700000000003</v>
      </c>
      <c r="H17" s="328">
        <v>2087.9700000000003</v>
      </c>
      <c r="I17" s="14">
        <f t="shared" si="4"/>
        <v>2171.3033333333337</v>
      </c>
      <c r="J17" s="39">
        <f t="shared" si="5"/>
        <v>13027.820000000003</v>
      </c>
      <c r="L17" s="187"/>
    </row>
    <row r="18" spans="1:12" x14ac:dyDescent="0.3">
      <c r="A18" s="344" t="s">
        <v>531</v>
      </c>
      <c r="B18" s="37">
        <f t="shared" si="6"/>
        <v>1.814516129032258</v>
      </c>
      <c r="C18" s="327">
        <v>1125</v>
      </c>
      <c r="D18" s="327">
        <v>0</v>
      </c>
      <c r="E18" s="327">
        <v>0</v>
      </c>
      <c r="F18" s="327">
        <v>0</v>
      </c>
      <c r="G18" s="327">
        <v>0</v>
      </c>
      <c r="H18" s="328">
        <v>0</v>
      </c>
      <c r="I18" s="16">
        <f t="shared" si="4"/>
        <v>187.5</v>
      </c>
      <c r="J18" s="39">
        <f t="shared" si="5"/>
        <v>1125</v>
      </c>
      <c r="L18" s="187"/>
    </row>
    <row r="19" spans="1:12" x14ac:dyDescent="0.3">
      <c r="A19" s="18" t="s">
        <v>8</v>
      </c>
      <c r="B19" s="34">
        <f t="shared" si="6"/>
        <v>112.96825806451614</v>
      </c>
      <c r="C19" s="60">
        <f>SUM(C14:C18)</f>
        <v>11894.970000000001</v>
      </c>
      <c r="D19" s="19">
        <f t="shared" ref="D19:H19" si="7">SUM(D14:D18)</f>
        <v>10522.470000000001</v>
      </c>
      <c r="E19" s="19">
        <f t="shared" si="7"/>
        <v>10184.970000000001</v>
      </c>
      <c r="F19" s="19">
        <f t="shared" si="7"/>
        <v>10584.970000000001</v>
      </c>
      <c r="G19" s="19">
        <f t="shared" si="7"/>
        <v>13963.970000000001</v>
      </c>
      <c r="H19" s="35">
        <f t="shared" si="7"/>
        <v>12888.970000000001</v>
      </c>
      <c r="I19" s="20">
        <f t="shared" si="4"/>
        <v>11673.386666666667</v>
      </c>
      <c r="J19" s="35">
        <f t="shared" si="5"/>
        <v>70040.320000000007</v>
      </c>
      <c r="L19" s="494" t="s">
        <v>310</v>
      </c>
    </row>
    <row r="20" spans="1:12" customFormat="1" ht="14.5" x14ac:dyDescent="0.35">
      <c r="K20" s="2"/>
      <c r="L20" s="2"/>
    </row>
    <row r="21" spans="1:12" ht="26" x14ac:dyDescent="0.3">
      <c r="A21" s="678" t="s">
        <v>88</v>
      </c>
      <c r="B21" s="702"/>
      <c r="C21" s="638">
        <f>Annee</f>
        <v>2024</v>
      </c>
      <c r="D21" s="590">
        <f>C21+1</f>
        <v>2025</v>
      </c>
      <c r="E21" s="590">
        <f t="shared" ref="E21:G21" si="8">D21+1</f>
        <v>2026</v>
      </c>
      <c r="F21" s="590">
        <f t="shared" si="8"/>
        <v>2027</v>
      </c>
      <c r="G21" s="590">
        <f t="shared" si="8"/>
        <v>2028</v>
      </c>
      <c r="H21" s="591">
        <f>G21+1</f>
        <v>2029</v>
      </c>
      <c r="I21" s="179" t="s">
        <v>271</v>
      </c>
      <c r="J21" s="179" t="s">
        <v>62</v>
      </c>
      <c r="L21" s="683" t="s">
        <v>305</v>
      </c>
    </row>
    <row r="22" spans="1:12" x14ac:dyDescent="0.3">
      <c r="A22" s="679"/>
      <c r="B22" s="703"/>
      <c r="C22" s="645">
        <v>12</v>
      </c>
      <c r="D22" s="343">
        <v>12</v>
      </c>
      <c r="E22" s="343">
        <v>12</v>
      </c>
      <c r="F22" s="343">
        <v>12</v>
      </c>
      <c r="G22" s="343">
        <v>12</v>
      </c>
      <c r="H22" s="117">
        <v>12</v>
      </c>
      <c r="I22" s="198">
        <f t="shared" ref="I22:I25" si="9">IFERROR(AVERAGE(C22:H22),0)</f>
        <v>12</v>
      </c>
      <c r="J22" s="198">
        <f t="shared" ref="J22:J25" si="10">SUM(C22:H22)</f>
        <v>72</v>
      </c>
      <c r="L22" s="699"/>
    </row>
    <row r="23" spans="1:12" x14ac:dyDescent="0.3">
      <c r="A23" s="36" t="s">
        <v>292</v>
      </c>
      <c r="B23" s="37"/>
      <c r="C23" s="327">
        <v>43584.149143619899</v>
      </c>
      <c r="D23" s="327">
        <v>44441.542302511269</v>
      </c>
      <c r="E23" s="327">
        <v>44619.355244632978</v>
      </c>
      <c r="F23" s="327">
        <v>45006.83218207617</v>
      </c>
      <c r="G23" s="327">
        <v>46603.968966638422</v>
      </c>
      <c r="H23" s="328">
        <v>42765.044198540454</v>
      </c>
      <c r="I23" s="10">
        <f t="shared" si="9"/>
        <v>44503.482006336533</v>
      </c>
      <c r="J23" s="199">
        <f t="shared" si="10"/>
        <v>267020.8920380192</v>
      </c>
      <c r="L23" s="186"/>
    </row>
    <row r="24" spans="1:12" x14ac:dyDescent="0.3">
      <c r="A24" s="36" t="s">
        <v>293</v>
      </c>
      <c r="B24" s="37"/>
      <c r="C24" s="327">
        <v>0</v>
      </c>
      <c r="D24" s="327">
        <v>0</v>
      </c>
      <c r="E24" s="327">
        <v>0</v>
      </c>
      <c r="F24" s="327">
        <v>0</v>
      </c>
      <c r="G24" s="327">
        <v>0</v>
      </c>
      <c r="H24" s="328">
        <v>0</v>
      </c>
      <c r="I24" s="14">
        <f t="shared" si="9"/>
        <v>0</v>
      </c>
      <c r="J24" s="39">
        <f t="shared" si="10"/>
        <v>0</v>
      </c>
      <c r="L24" s="187"/>
    </row>
    <row r="25" spans="1:12" x14ac:dyDescent="0.3">
      <c r="A25" s="18" t="s">
        <v>8</v>
      </c>
      <c r="B25" s="34"/>
      <c r="C25" s="60">
        <f>SUM(C23:C24)</f>
        <v>43584.149143619899</v>
      </c>
      <c r="D25" s="19">
        <f t="shared" ref="D25:H25" si="11">SUM(D23:D24)</f>
        <v>44441.542302511269</v>
      </c>
      <c r="E25" s="19">
        <f t="shared" si="11"/>
        <v>44619.355244632978</v>
      </c>
      <c r="F25" s="19">
        <f t="shared" si="11"/>
        <v>45006.83218207617</v>
      </c>
      <c r="G25" s="19">
        <f t="shared" si="11"/>
        <v>46603.968966638422</v>
      </c>
      <c r="H25" s="35">
        <f t="shared" si="11"/>
        <v>42765.044198540454</v>
      </c>
      <c r="I25" s="20">
        <f t="shared" si="9"/>
        <v>44503.482006336533</v>
      </c>
      <c r="J25" s="20">
        <f t="shared" si="10"/>
        <v>267020.8920380192</v>
      </c>
      <c r="K25" s="5"/>
      <c r="L25" s="494" t="s">
        <v>446</v>
      </c>
    </row>
    <row r="26" spans="1:12" ht="14.5" x14ac:dyDescent="0.35">
      <c r="B26" s="40"/>
      <c r="L26"/>
    </row>
    <row r="27" spans="1:12" ht="14.5" x14ac:dyDescent="0.35">
      <c r="K27" s="11"/>
      <c r="L27"/>
    </row>
    <row r="28" spans="1:12" ht="14.5" x14ac:dyDescent="0.35">
      <c r="L28"/>
    </row>
    <row r="29" spans="1:12" ht="14.5" x14ac:dyDescent="0.35">
      <c r="L29"/>
    </row>
    <row r="30" spans="1:12" ht="14.5" x14ac:dyDescent="0.35">
      <c r="L30"/>
    </row>
    <row r="31" spans="1:12" ht="14.5" x14ac:dyDescent="0.35">
      <c r="L31"/>
    </row>
    <row r="32" spans="1:12" ht="14.5" x14ac:dyDescent="0.35">
      <c r="L32"/>
    </row>
    <row r="33" spans="12:12" ht="14.5" x14ac:dyDescent="0.35">
      <c r="L33"/>
    </row>
    <row r="34" spans="12:12" ht="14.5" x14ac:dyDescent="0.35">
      <c r="L34"/>
    </row>
    <row r="35" spans="12:12" ht="14.5" x14ac:dyDescent="0.35">
      <c r="L35"/>
    </row>
    <row r="36" spans="12:12" ht="14.5" x14ac:dyDescent="0.35">
      <c r="L36"/>
    </row>
    <row r="37" spans="12:12" ht="14.5" x14ac:dyDescent="0.35">
      <c r="L37"/>
    </row>
    <row r="38" spans="12:12" ht="14.5" x14ac:dyDescent="0.35">
      <c r="L38"/>
    </row>
    <row r="39" spans="12:12" ht="14.5" x14ac:dyDescent="0.35">
      <c r="L39"/>
    </row>
    <row r="40" spans="12:12" ht="14.5" x14ac:dyDescent="0.35">
      <c r="L40"/>
    </row>
    <row r="41" spans="12:12" ht="14.5" x14ac:dyDescent="0.35">
      <c r="L41"/>
    </row>
    <row r="42" spans="12:12" ht="14.5" x14ac:dyDescent="0.35">
      <c r="L42"/>
    </row>
    <row r="43" spans="12:12" ht="14.5" x14ac:dyDescent="0.35">
      <c r="L43"/>
    </row>
    <row r="44" spans="12:12" ht="14.5" x14ac:dyDescent="0.35">
      <c r="L44"/>
    </row>
    <row r="45" spans="12:12" ht="14.5" x14ac:dyDescent="0.35">
      <c r="L45"/>
    </row>
    <row r="46" spans="12:12" ht="14.5" x14ac:dyDescent="0.35">
      <c r="L46"/>
    </row>
    <row r="47" spans="12:12" ht="14.5" x14ac:dyDescent="0.35">
      <c r="L47"/>
    </row>
    <row r="48" spans="12:12" ht="14.5" x14ac:dyDescent="0.35">
      <c r="L48"/>
    </row>
    <row r="49" spans="12:12" ht="14.5" x14ac:dyDescent="0.35">
      <c r="L49"/>
    </row>
    <row r="50" spans="12:12" ht="14.5" x14ac:dyDescent="0.35">
      <c r="L50"/>
    </row>
    <row r="51" spans="12:12" ht="14.5" x14ac:dyDescent="0.35">
      <c r="L51"/>
    </row>
    <row r="52" spans="12:12" ht="14.5" x14ac:dyDescent="0.35">
      <c r="L52"/>
    </row>
    <row r="53" spans="12:12" ht="14.5" x14ac:dyDescent="0.35">
      <c r="L53"/>
    </row>
    <row r="54" spans="12:12" ht="14.5" x14ac:dyDescent="0.35">
      <c r="L54"/>
    </row>
    <row r="55" spans="12:12" ht="14.5" x14ac:dyDescent="0.35">
      <c r="L55"/>
    </row>
    <row r="56" spans="12:12" ht="14.5" x14ac:dyDescent="0.35">
      <c r="L56"/>
    </row>
    <row r="57" spans="12:12" ht="14.5" x14ac:dyDescent="0.35">
      <c r="L57"/>
    </row>
    <row r="58" spans="12:12" ht="14.5" x14ac:dyDescent="0.35">
      <c r="L58"/>
    </row>
    <row r="59" spans="12:12" ht="14.5" x14ac:dyDescent="0.35">
      <c r="L59"/>
    </row>
    <row r="60" spans="12:12" ht="14.5" x14ac:dyDescent="0.35">
      <c r="L60"/>
    </row>
    <row r="61" spans="12:12" ht="14.5" x14ac:dyDescent="0.35">
      <c r="L61"/>
    </row>
    <row r="62" spans="12:12" ht="14.5" x14ac:dyDescent="0.35">
      <c r="L62"/>
    </row>
    <row r="63" spans="12:12" ht="14.5" x14ac:dyDescent="0.35">
      <c r="L63"/>
    </row>
    <row r="64" spans="12:12" ht="14.5" x14ac:dyDescent="0.35">
      <c r="L64"/>
    </row>
    <row r="65" spans="12:12" ht="14.5" x14ac:dyDescent="0.35">
      <c r="L65"/>
    </row>
    <row r="66" spans="12:12" ht="14.5" x14ac:dyDescent="0.35">
      <c r="L66"/>
    </row>
    <row r="67" spans="12:12" ht="14.5" x14ac:dyDescent="0.35">
      <c r="L67"/>
    </row>
    <row r="68" spans="12:12" ht="14.5" x14ac:dyDescent="0.35">
      <c r="L68"/>
    </row>
    <row r="69" spans="12:12" ht="14.5" x14ac:dyDescent="0.35">
      <c r="L69"/>
    </row>
    <row r="70" spans="12:12" ht="14.5" x14ac:dyDescent="0.35">
      <c r="L70"/>
    </row>
    <row r="71" spans="12:12" ht="14.5" x14ac:dyDescent="0.35">
      <c r="L71"/>
    </row>
    <row r="72" spans="12:12" ht="14.5" x14ac:dyDescent="0.35">
      <c r="L72"/>
    </row>
    <row r="73" spans="12:12" ht="14.5" x14ac:dyDescent="0.35">
      <c r="L73"/>
    </row>
    <row r="74" spans="12:12" ht="14.5" x14ac:dyDescent="0.35">
      <c r="L74"/>
    </row>
    <row r="75" spans="12:12" ht="14.5" x14ac:dyDescent="0.35">
      <c r="L75"/>
    </row>
    <row r="76" spans="12:12" ht="14.5" x14ac:dyDescent="0.35">
      <c r="L76"/>
    </row>
    <row r="77" spans="12:12" ht="14.5" x14ac:dyDescent="0.35">
      <c r="L77"/>
    </row>
    <row r="78" spans="12:12" ht="14.5" x14ac:dyDescent="0.35">
      <c r="L78"/>
    </row>
    <row r="79" spans="12:12" ht="14.5" x14ac:dyDescent="0.35">
      <c r="L79"/>
    </row>
    <row r="80" spans="12:12" ht="14.5" x14ac:dyDescent="0.35">
      <c r="L80"/>
    </row>
    <row r="81" spans="12:12" ht="14.5" x14ac:dyDescent="0.35">
      <c r="L81"/>
    </row>
    <row r="82" spans="12:12" ht="14.5" x14ac:dyDescent="0.35">
      <c r="L82"/>
    </row>
    <row r="83" spans="12:12" ht="14.5" x14ac:dyDescent="0.35">
      <c r="L83"/>
    </row>
    <row r="84" spans="12:12" ht="14.5" x14ac:dyDescent="0.35">
      <c r="L84"/>
    </row>
    <row r="85" spans="12:12" ht="14.5" x14ac:dyDescent="0.35">
      <c r="L85"/>
    </row>
    <row r="86" spans="12:12" ht="14.5" x14ac:dyDescent="0.35">
      <c r="L86"/>
    </row>
    <row r="87" spans="12:12" ht="14.5" x14ac:dyDescent="0.35">
      <c r="L87"/>
    </row>
    <row r="88" spans="12:12" ht="14.5" x14ac:dyDescent="0.35">
      <c r="L88"/>
    </row>
    <row r="89" spans="12:12" ht="14.5" x14ac:dyDescent="0.35">
      <c r="L89"/>
    </row>
    <row r="90" spans="12:12" ht="14.5" x14ac:dyDescent="0.35">
      <c r="L90"/>
    </row>
    <row r="91" spans="12:12" ht="14.5" x14ac:dyDescent="0.35">
      <c r="L91"/>
    </row>
    <row r="92" spans="12:12" ht="14.5" x14ac:dyDescent="0.35">
      <c r="L92"/>
    </row>
    <row r="93" spans="12:12" ht="14.5" x14ac:dyDescent="0.35">
      <c r="L93"/>
    </row>
    <row r="94" spans="12:12" ht="14.5" x14ac:dyDescent="0.35">
      <c r="L94"/>
    </row>
    <row r="95" spans="12:12" ht="14.5" x14ac:dyDescent="0.35">
      <c r="L95"/>
    </row>
    <row r="96" spans="12:12" ht="14.5" x14ac:dyDescent="0.35">
      <c r="L96"/>
    </row>
    <row r="97" spans="12:12" ht="14.5" x14ac:dyDescent="0.35">
      <c r="L97"/>
    </row>
    <row r="98" spans="12:12" ht="14.5" x14ac:dyDescent="0.35">
      <c r="L98"/>
    </row>
    <row r="99" spans="12:12" ht="14.5" x14ac:dyDescent="0.35">
      <c r="L99"/>
    </row>
    <row r="100" spans="12:12" ht="14.5" x14ac:dyDescent="0.35">
      <c r="L100"/>
    </row>
    <row r="101" spans="12:12" ht="14.5" x14ac:dyDescent="0.35">
      <c r="L101"/>
    </row>
    <row r="102" spans="12:12" ht="14.5" x14ac:dyDescent="0.35">
      <c r="L102"/>
    </row>
    <row r="103" spans="12:12" ht="14.5" x14ac:dyDescent="0.35">
      <c r="L103"/>
    </row>
    <row r="104" spans="12:12" ht="14.5" x14ac:dyDescent="0.35">
      <c r="L104"/>
    </row>
    <row r="105" spans="12:12" ht="14.5" x14ac:dyDescent="0.35">
      <c r="L105"/>
    </row>
    <row r="106" spans="12:12" ht="14.5" x14ac:dyDescent="0.35">
      <c r="L106"/>
    </row>
    <row r="107" spans="12:12" ht="14.5" x14ac:dyDescent="0.35">
      <c r="L107"/>
    </row>
    <row r="108" spans="12:12" ht="14.5" x14ac:dyDescent="0.35">
      <c r="L108"/>
    </row>
    <row r="109" spans="12:12" ht="14.5" x14ac:dyDescent="0.35">
      <c r="L109"/>
    </row>
    <row r="110" spans="12:12" ht="14.5" x14ac:dyDescent="0.35">
      <c r="L110"/>
    </row>
    <row r="111" spans="12:12" ht="14.5" x14ac:dyDescent="0.35">
      <c r="L111"/>
    </row>
    <row r="112" spans="12:12" ht="14.5" x14ac:dyDescent="0.35">
      <c r="L112"/>
    </row>
    <row r="113" spans="12:12" ht="14.5" x14ac:dyDescent="0.35">
      <c r="L113"/>
    </row>
    <row r="114" spans="12:12" ht="14.5" x14ac:dyDescent="0.35">
      <c r="L114"/>
    </row>
    <row r="115" spans="12:12" ht="14.5" x14ac:dyDescent="0.35">
      <c r="L115"/>
    </row>
    <row r="116" spans="12:12" ht="14.5" x14ac:dyDescent="0.35">
      <c r="L116"/>
    </row>
    <row r="117" spans="12:12" ht="14.5" x14ac:dyDescent="0.35">
      <c r="L117"/>
    </row>
    <row r="118" spans="12:12" ht="14.5" x14ac:dyDescent="0.35">
      <c r="L118"/>
    </row>
    <row r="119" spans="12:12" ht="14.5" x14ac:dyDescent="0.35">
      <c r="L119"/>
    </row>
    <row r="120" spans="12:12" ht="14.5" x14ac:dyDescent="0.35">
      <c r="L120"/>
    </row>
    <row r="121" spans="12:12" ht="14.5" x14ac:dyDescent="0.35">
      <c r="L121"/>
    </row>
    <row r="122" spans="12:12" ht="14.5" x14ac:dyDescent="0.35">
      <c r="L122"/>
    </row>
    <row r="123" spans="12:12" ht="14.5" x14ac:dyDescent="0.35">
      <c r="L123"/>
    </row>
    <row r="124" spans="12:12" ht="14.5" x14ac:dyDescent="0.35">
      <c r="L124"/>
    </row>
    <row r="125" spans="12:12" ht="14.5" x14ac:dyDescent="0.35">
      <c r="L125"/>
    </row>
    <row r="126" spans="12:12" ht="14.5" x14ac:dyDescent="0.35">
      <c r="L126"/>
    </row>
    <row r="127" spans="12:12" ht="14.5" x14ac:dyDescent="0.35">
      <c r="L127"/>
    </row>
    <row r="128" spans="12:12" ht="14.5" x14ac:dyDescent="0.35">
      <c r="L128"/>
    </row>
    <row r="129" spans="12:12" ht="14.5" x14ac:dyDescent="0.35">
      <c r="L129"/>
    </row>
    <row r="130" spans="12:12" ht="14.5" x14ac:dyDescent="0.35">
      <c r="L130"/>
    </row>
    <row r="131" spans="12:12" ht="14.5" x14ac:dyDescent="0.35">
      <c r="L131"/>
    </row>
    <row r="132" spans="12:12" ht="14.5" x14ac:dyDescent="0.35">
      <c r="L132"/>
    </row>
    <row r="133" spans="12:12" ht="14.5" x14ac:dyDescent="0.35">
      <c r="L133"/>
    </row>
    <row r="134" spans="12:12" ht="14.5" x14ac:dyDescent="0.35">
      <c r="L134"/>
    </row>
    <row r="135" spans="12:12" ht="14.5" x14ac:dyDescent="0.35">
      <c r="L135"/>
    </row>
    <row r="136" spans="12:12" ht="14.5" x14ac:dyDescent="0.35">
      <c r="L136"/>
    </row>
    <row r="137" spans="12:12" ht="14.5" x14ac:dyDescent="0.35">
      <c r="L137"/>
    </row>
    <row r="138" spans="12:12" ht="14.5" x14ac:dyDescent="0.35">
      <c r="L138"/>
    </row>
    <row r="139" spans="12:12" ht="14.5" x14ac:dyDescent="0.35">
      <c r="L139"/>
    </row>
    <row r="140" spans="12:12" ht="14.5" x14ac:dyDescent="0.35">
      <c r="L140"/>
    </row>
    <row r="141" spans="12:12" ht="14.5" x14ac:dyDescent="0.35">
      <c r="L141"/>
    </row>
    <row r="142" spans="12:12" ht="14.5" x14ac:dyDescent="0.35">
      <c r="L142"/>
    </row>
    <row r="143" spans="12:12" ht="14.5" x14ac:dyDescent="0.35">
      <c r="L143"/>
    </row>
    <row r="144" spans="12:12" ht="14.5" x14ac:dyDescent="0.35">
      <c r="L144"/>
    </row>
    <row r="145" spans="12:12" ht="14.5" x14ac:dyDescent="0.35">
      <c r="L145"/>
    </row>
    <row r="146" spans="12:12" ht="14.5" x14ac:dyDescent="0.35">
      <c r="L146"/>
    </row>
    <row r="147" spans="12:12" ht="14.5" x14ac:dyDescent="0.35">
      <c r="L147"/>
    </row>
    <row r="148" spans="12:12" ht="14.5" x14ac:dyDescent="0.35">
      <c r="L148"/>
    </row>
    <row r="149" spans="12:12" ht="14.5" x14ac:dyDescent="0.35">
      <c r="L149"/>
    </row>
    <row r="150" spans="12:12" ht="14.5" x14ac:dyDescent="0.35">
      <c r="L150"/>
    </row>
    <row r="151" spans="12:12" ht="14.5" x14ac:dyDescent="0.35">
      <c r="L151"/>
    </row>
    <row r="152" spans="12:12" ht="14.5" x14ac:dyDescent="0.35">
      <c r="L152"/>
    </row>
    <row r="153" spans="12:12" ht="14.5" x14ac:dyDescent="0.35">
      <c r="L153"/>
    </row>
    <row r="154" spans="12:12" ht="14.5" x14ac:dyDescent="0.35">
      <c r="L154"/>
    </row>
    <row r="155" spans="12:12" ht="14.5" x14ac:dyDescent="0.35">
      <c r="L155"/>
    </row>
    <row r="156" spans="12:12" ht="14.5" x14ac:dyDescent="0.35">
      <c r="L156"/>
    </row>
    <row r="157" spans="12:12" ht="14.5" x14ac:dyDescent="0.35">
      <c r="L157"/>
    </row>
    <row r="158" spans="12:12" ht="14.5" x14ac:dyDescent="0.35">
      <c r="L158"/>
    </row>
    <row r="159" spans="12:12" ht="14.5" x14ac:dyDescent="0.35">
      <c r="L159"/>
    </row>
    <row r="160" spans="12:12" ht="14.5" x14ac:dyDescent="0.35">
      <c r="L160"/>
    </row>
    <row r="161" spans="12:12" ht="14.5" x14ac:dyDescent="0.35">
      <c r="L161"/>
    </row>
    <row r="162" spans="12:12" ht="14.5" x14ac:dyDescent="0.35">
      <c r="L162"/>
    </row>
    <row r="163" spans="12:12" ht="14.5" x14ac:dyDescent="0.35">
      <c r="L163"/>
    </row>
    <row r="164" spans="12:12" ht="14.5" x14ac:dyDescent="0.35">
      <c r="L164"/>
    </row>
    <row r="165" spans="12:12" ht="14.5" x14ac:dyDescent="0.35">
      <c r="L165"/>
    </row>
    <row r="166" spans="12:12" ht="14.5" x14ac:dyDescent="0.35">
      <c r="L166"/>
    </row>
    <row r="167" spans="12:12" ht="14.5" x14ac:dyDescent="0.35">
      <c r="L167"/>
    </row>
    <row r="168" spans="12:12" ht="14.5" x14ac:dyDescent="0.35">
      <c r="L168"/>
    </row>
    <row r="169" spans="12:12" ht="14.5" x14ac:dyDescent="0.35">
      <c r="L169"/>
    </row>
    <row r="170" spans="12:12" ht="14.5" x14ac:dyDescent="0.35">
      <c r="L170"/>
    </row>
    <row r="171" spans="12:12" ht="14.5" x14ac:dyDescent="0.35">
      <c r="L171"/>
    </row>
    <row r="172" spans="12:12" ht="14.5" x14ac:dyDescent="0.35">
      <c r="L172"/>
    </row>
    <row r="173" spans="12:12" ht="14.5" x14ac:dyDescent="0.35">
      <c r="L173"/>
    </row>
    <row r="174" spans="12:12" ht="14.5" x14ac:dyDescent="0.35">
      <c r="L174"/>
    </row>
    <row r="175" spans="12:12" ht="14.5" x14ac:dyDescent="0.35">
      <c r="L175"/>
    </row>
    <row r="176" spans="12:12" ht="14.5" x14ac:dyDescent="0.35">
      <c r="L176"/>
    </row>
    <row r="177" spans="12:12" ht="14.5" x14ac:dyDescent="0.35">
      <c r="L177"/>
    </row>
    <row r="178" spans="12:12" ht="14.5" x14ac:dyDescent="0.35">
      <c r="L178"/>
    </row>
    <row r="179" spans="12:12" ht="14.5" x14ac:dyDescent="0.35">
      <c r="L179"/>
    </row>
    <row r="180" spans="12:12" ht="14.5" x14ac:dyDescent="0.35">
      <c r="L180"/>
    </row>
    <row r="181" spans="12:12" ht="14.5" x14ac:dyDescent="0.35">
      <c r="L181"/>
    </row>
    <row r="182" spans="12:12" ht="14.5" x14ac:dyDescent="0.35">
      <c r="L182"/>
    </row>
    <row r="183" spans="12:12" ht="14.5" x14ac:dyDescent="0.35">
      <c r="L183"/>
    </row>
    <row r="184" spans="12:12" ht="14.5" x14ac:dyDescent="0.35">
      <c r="L184"/>
    </row>
    <row r="185" spans="12:12" ht="14.5" x14ac:dyDescent="0.35">
      <c r="L185"/>
    </row>
    <row r="186" spans="12:12" ht="14.5" x14ac:dyDescent="0.35">
      <c r="L186"/>
    </row>
    <row r="187" spans="12:12" ht="14.5" x14ac:dyDescent="0.35">
      <c r="L187"/>
    </row>
    <row r="188" spans="12:12" ht="14.5" x14ac:dyDescent="0.35">
      <c r="L188"/>
    </row>
    <row r="189" spans="12:12" ht="14.5" x14ac:dyDescent="0.35">
      <c r="L189"/>
    </row>
    <row r="190" spans="12:12" ht="14.5" x14ac:dyDescent="0.35">
      <c r="L190"/>
    </row>
    <row r="191" spans="12:12" ht="14.5" x14ac:dyDescent="0.35">
      <c r="L191"/>
    </row>
    <row r="192" spans="12:12" ht="14.5" x14ac:dyDescent="0.35">
      <c r="L192"/>
    </row>
    <row r="193" spans="12:12" ht="14.5" x14ac:dyDescent="0.35">
      <c r="L193"/>
    </row>
    <row r="194" spans="12:12" ht="14.5" x14ac:dyDescent="0.35">
      <c r="L194"/>
    </row>
    <row r="195" spans="12:12" ht="14.5" x14ac:dyDescent="0.35">
      <c r="L195"/>
    </row>
    <row r="196" spans="12:12" ht="14.5" x14ac:dyDescent="0.35">
      <c r="L196"/>
    </row>
    <row r="197" spans="12:12" ht="14.5" x14ac:dyDescent="0.35">
      <c r="L197"/>
    </row>
    <row r="198" spans="12:12" ht="14.5" x14ac:dyDescent="0.35">
      <c r="L198"/>
    </row>
  </sheetData>
  <mergeCells count="10">
    <mergeCell ref="A1:J1"/>
    <mergeCell ref="A21:A22"/>
    <mergeCell ref="B21:B22"/>
    <mergeCell ref="A12:A13"/>
    <mergeCell ref="B12:B13"/>
    <mergeCell ref="L5:L6"/>
    <mergeCell ref="L12:L13"/>
    <mergeCell ref="L21:L22"/>
    <mergeCell ref="A5:A6"/>
    <mergeCell ref="B5:B6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tToHeight="3" orientation="landscape" r:id="rId1"/>
  <headerFooter>
    <oddHeader>&amp;L&amp;F&amp;R&amp;A</oddHeader>
    <oddFooter>&amp;L&amp;D&amp;C&amp;P/&amp;N&amp;R&amp;T</oddFooter>
  </headerFooter>
  <ignoredErrors>
    <ignoredError sqref="C19:H19 C25:H25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/>
  </sheetPr>
  <dimension ref="A1:L162"/>
  <sheetViews>
    <sheetView showGridLines="0" view="pageBreakPreview" zoomScale="85" zoomScaleNormal="90" zoomScaleSheetLayoutView="85" workbookViewId="0">
      <selection sqref="A1:J1"/>
    </sheetView>
  </sheetViews>
  <sheetFormatPr baseColWidth="10" defaultColWidth="11.26953125" defaultRowHeight="13" x14ac:dyDescent="0.3"/>
  <cols>
    <col min="1" max="1" width="32.453125" style="2" customWidth="1"/>
    <col min="2" max="2" width="10.26953125" style="2" customWidth="1"/>
    <col min="3" max="10" width="10.26953125" style="11" customWidth="1"/>
    <col min="11" max="11" width="11.26953125" style="2"/>
    <col min="12" max="12" width="18.54296875" style="11" customWidth="1"/>
    <col min="13" max="16384" width="11.26953125" style="2"/>
  </cols>
  <sheetData>
    <row r="1" spans="1:12" ht="25.9" customHeight="1" x14ac:dyDescent="0.3">
      <c r="A1" s="680" t="s">
        <v>524</v>
      </c>
      <c r="B1" s="681"/>
      <c r="C1" s="681"/>
      <c r="D1" s="681"/>
      <c r="E1" s="681"/>
      <c r="F1" s="681"/>
      <c r="G1" s="681"/>
      <c r="H1" s="681"/>
      <c r="I1" s="681"/>
      <c r="J1" s="682"/>
      <c r="L1" s="192" t="s">
        <v>304</v>
      </c>
    </row>
    <row r="2" spans="1:12" x14ac:dyDescent="0.3">
      <c r="C2" s="2"/>
      <c r="D2" s="2"/>
      <c r="E2" s="2"/>
      <c r="F2" s="2"/>
      <c r="G2" s="2"/>
      <c r="H2" s="2"/>
      <c r="I2" s="2"/>
    </row>
    <row r="3" spans="1:12" x14ac:dyDescent="0.3">
      <c r="A3" s="21" t="s">
        <v>77</v>
      </c>
      <c r="B3" s="153"/>
      <c r="C3" s="153"/>
      <c r="D3" s="153"/>
      <c r="E3" s="153"/>
      <c r="F3" s="153"/>
      <c r="G3" s="153"/>
      <c r="H3" s="153"/>
      <c r="I3" s="153"/>
      <c r="J3" s="154"/>
      <c r="L3" s="2"/>
    </row>
    <row r="4" spans="1:12" x14ac:dyDescent="0.3">
      <c r="L4" s="2"/>
    </row>
    <row r="5" spans="1:12" x14ac:dyDescent="0.3">
      <c r="A5" s="42" t="s">
        <v>74</v>
      </c>
      <c r="B5" s="43"/>
      <c r="C5" s="44"/>
      <c r="D5" s="44"/>
      <c r="E5" s="44"/>
      <c r="F5" s="44"/>
      <c r="G5" s="44"/>
      <c r="H5" s="44"/>
      <c r="I5" s="44"/>
      <c r="J5" s="44"/>
    </row>
    <row r="6" spans="1:12" x14ac:dyDescent="0.3">
      <c r="C6" s="2"/>
      <c r="D6" s="2"/>
      <c r="E6" s="2"/>
      <c r="F6" s="2"/>
      <c r="G6" s="2"/>
      <c r="H6" s="2"/>
      <c r="I6" s="2"/>
      <c r="J6" s="2"/>
    </row>
    <row r="7" spans="1:12" ht="27.65" customHeight="1" x14ac:dyDescent="0.3">
      <c r="A7" s="691" t="s">
        <v>173</v>
      </c>
      <c r="B7" s="678"/>
      <c r="C7" s="3">
        <f>Annee</f>
        <v>2024</v>
      </c>
      <c r="D7" s="291">
        <f>C7+1</f>
        <v>2025</v>
      </c>
      <c r="E7" s="291">
        <f t="shared" ref="E7:G7" si="0">D7+1</f>
        <v>2026</v>
      </c>
      <c r="F7" s="291">
        <f t="shared" si="0"/>
        <v>2027</v>
      </c>
      <c r="G7" s="291">
        <f t="shared" si="0"/>
        <v>2028</v>
      </c>
      <c r="H7" s="295">
        <f>G7+1</f>
        <v>2029</v>
      </c>
      <c r="I7" s="179" t="s">
        <v>271</v>
      </c>
      <c r="J7" s="179" t="s">
        <v>62</v>
      </c>
      <c r="L7" s="683" t="s">
        <v>305</v>
      </c>
    </row>
    <row r="8" spans="1:12" x14ac:dyDescent="0.3">
      <c r="A8" s="692"/>
      <c r="B8" s="679"/>
      <c r="C8" s="77">
        <v>12</v>
      </c>
      <c r="D8" s="77">
        <v>12</v>
      </c>
      <c r="E8" s="77">
        <v>12</v>
      </c>
      <c r="F8" s="77">
        <v>12</v>
      </c>
      <c r="G8" s="77">
        <v>12</v>
      </c>
      <c r="H8" s="181">
        <v>12</v>
      </c>
      <c r="I8" s="190">
        <f t="shared" ref="I8:I9" si="1">IFERROR(AVERAGE(C8:H8),0)</f>
        <v>12</v>
      </c>
      <c r="J8" s="190">
        <f t="shared" ref="J8:J9" si="2">SUM(C8:H8)</f>
        <v>72</v>
      </c>
      <c r="L8" s="699"/>
    </row>
    <row r="9" spans="1:12" x14ac:dyDescent="0.3">
      <c r="A9" s="59" t="s">
        <v>306</v>
      </c>
      <c r="B9" s="79"/>
      <c r="C9" s="330">
        <v>900000</v>
      </c>
      <c r="D9" s="330">
        <v>900000</v>
      </c>
      <c r="E9" s="330">
        <v>900000</v>
      </c>
      <c r="F9" s="330">
        <v>900000</v>
      </c>
      <c r="G9" s="330">
        <v>900000</v>
      </c>
      <c r="H9" s="331">
        <v>900000</v>
      </c>
      <c r="I9" s="196">
        <f t="shared" si="1"/>
        <v>900000</v>
      </c>
      <c r="J9" s="197">
        <f t="shared" si="2"/>
        <v>5400000</v>
      </c>
      <c r="L9" s="188"/>
    </row>
    <row r="10" spans="1:12" ht="14.5" x14ac:dyDescent="0.35">
      <c r="C10" s="2"/>
      <c r="D10" s="2"/>
      <c r="E10" s="2"/>
      <c r="F10" s="2"/>
      <c r="G10" s="2"/>
      <c r="H10" s="2"/>
      <c r="I10" s="2"/>
      <c r="J10" s="2"/>
      <c r="L10"/>
    </row>
    <row r="11" spans="1:12" ht="28.9" customHeight="1" x14ac:dyDescent="0.3">
      <c r="A11" s="691" t="s">
        <v>162</v>
      </c>
      <c r="B11" s="678"/>
      <c r="C11" s="3">
        <f>Annee</f>
        <v>2024</v>
      </c>
      <c r="D11" s="291">
        <f>C11+1</f>
        <v>2025</v>
      </c>
      <c r="E11" s="291">
        <f t="shared" ref="E11:G11" si="3">D11+1</f>
        <v>2026</v>
      </c>
      <c r="F11" s="291">
        <f t="shared" si="3"/>
        <v>2027</v>
      </c>
      <c r="G11" s="291">
        <f t="shared" si="3"/>
        <v>2028</v>
      </c>
      <c r="H11" s="295">
        <f>G11+1</f>
        <v>2029</v>
      </c>
      <c r="I11" s="179" t="s">
        <v>271</v>
      </c>
      <c r="J11" s="179" t="s">
        <v>62</v>
      </c>
      <c r="L11" s="683" t="s">
        <v>305</v>
      </c>
    </row>
    <row r="12" spans="1:12" x14ac:dyDescent="0.3">
      <c r="A12" s="692"/>
      <c r="B12" s="679"/>
      <c r="C12" s="77">
        <v>12</v>
      </c>
      <c r="D12" s="77">
        <v>12</v>
      </c>
      <c r="E12" s="77">
        <v>12</v>
      </c>
      <c r="F12" s="77">
        <v>12</v>
      </c>
      <c r="G12" s="77">
        <v>12</v>
      </c>
      <c r="H12" s="77">
        <v>12</v>
      </c>
      <c r="I12" s="190">
        <f t="shared" ref="I12:I14" si="4">IFERROR(AVERAGE(C12:H12),0)</f>
        <v>12</v>
      </c>
      <c r="J12" s="190">
        <f t="shared" ref="J12:J14" si="5">SUM(C12:H12)</f>
        <v>72</v>
      </c>
      <c r="L12" s="699"/>
    </row>
    <row r="13" spans="1:12" x14ac:dyDescent="0.3">
      <c r="A13" s="36" t="s">
        <v>449</v>
      </c>
      <c r="B13" s="37"/>
      <c r="C13" s="347">
        <v>45</v>
      </c>
      <c r="D13" s="348">
        <v>45</v>
      </c>
      <c r="E13" s="348">
        <v>45</v>
      </c>
      <c r="F13" s="348">
        <v>45</v>
      </c>
      <c r="G13" s="348">
        <v>45</v>
      </c>
      <c r="H13" s="349">
        <v>45</v>
      </c>
      <c r="I13" s="39">
        <f t="shared" si="4"/>
        <v>45</v>
      </c>
      <c r="J13" s="39">
        <f t="shared" si="5"/>
        <v>270</v>
      </c>
      <c r="L13" s="186"/>
    </row>
    <row r="14" spans="1:12" x14ac:dyDescent="0.3">
      <c r="A14" s="18" t="s">
        <v>8</v>
      </c>
      <c r="B14" s="34"/>
      <c r="C14" s="60">
        <f t="shared" ref="C14:H14" si="6">SUM(C13:C13)</f>
        <v>45</v>
      </c>
      <c r="D14" s="19">
        <f t="shared" si="6"/>
        <v>45</v>
      </c>
      <c r="E14" s="19">
        <f t="shared" si="6"/>
        <v>45</v>
      </c>
      <c r="F14" s="19">
        <f t="shared" si="6"/>
        <v>45</v>
      </c>
      <c r="G14" s="19">
        <f t="shared" si="6"/>
        <v>45</v>
      </c>
      <c r="H14" s="35">
        <f t="shared" si="6"/>
        <v>45</v>
      </c>
      <c r="I14" s="35">
        <f t="shared" si="4"/>
        <v>45</v>
      </c>
      <c r="J14" s="35">
        <f t="shared" si="5"/>
        <v>270</v>
      </c>
      <c r="L14" s="195"/>
    </row>
    <row r="15" spans="1:12" x14ac:dyDescent="0.3">
      <c r="C15" s="2"/>
      <c r="D15" s="2"/>
      <c r="E15" s="2"/>
      <c r="F15" s="2"/>
      <c r="G15" s="2"/>
      <c r="H15" s="2"/>
      <c r="I15" s="2"/>
      <c r="J15" s="2"/>
      <c r="L15" s="2"/>
    </row>
    <row r="16" spans="1:12" x14ac:dyDescent="0.3">
      <c r="A16" s="42" t="s">
        <v>450</v>
      </c>
      <c r="B16" s="43"/>
      <c r="C16" s="44"/>
      <c r="D16" s="44"/>
      <c r="E16" s="44"/>
      <c r="F16" s="44"/>
      <c r="G16" s="44"/>
      <c r="H16" s="44"/>
      <c r="I16" s="44"/>
      <c r="J16" s="44"/>
    </row>
    <row r="17" spans="1:12" x14ac:dyDescent="0.3">
      <c r="C17" s="2"/>
      <c r="D17" s="2"/>
      <c r="E17" s="2"/>
      <c r="F17" s="2"/>
      <c r="G17" s="2"/>
      <c r="H17" s="2"/>
      <c r="I17" s="2"/>
      <c r="J17" s="2"/>
    </row>
    <row r="18" spans="1:12" ht="29.5" customHeight="1" x14ac:dyDescent="0.3">
      <c r="A18" s="691" t="s">
        <v>355</v>
      </c>
      <c r="B18" s="678" t="s">
        <v>351</v>
      </c>
      <c r="C18" s="3">
        <f>Annee</f>
        <v>2024</v>
      </c>
      <c r="D18" s="291">
        <f>C18+1</f>
        <v>2025</v>
      </c>
      <c r="E18" s="291">
        <f t="shared" ref="E18:G18" si="7">D18+1</f>
        <v>2026</v>
      </c>
      <c r="F18" s="291">
        <f t="shared" si="7"/>
        <v>2027</v>
      </c>
      <c r="G18" s="291">
        <f t="shared" si="7"/>
        <v>2028</v>
      </c>
      <c r="H18" s="295">
        <f>G18+1</f>
        <v>2029</v>
      </c>
      <c r="I18" s="179" t="s">
        <v>271</v>
      </c>
      <c r="J18" s="179" t="s">
        <v>62</v>
      </c>
      <c r="L18" s="683" t="s">
        <v>305</v>
      </c>
    </row>
    <row r="19" spans="1:12" ht="14.5" customHeight="1" x14ac:dyDescent="0.3">
      <c r="A19" s="694"/>
      <c r="B19" s="679"/>
      <c r="C19" s="77">
        <v>12</v>
      </c>
      <c r="D19" s="77">
        <v>12</v>
      </c>
      <c r="E19" s="77">
        <v>12</v>
      </c>
      <c r="F19" s="77">
        <v>12</v>
      </c>
      <c r="G19" s="77">
        <v>12</v>
      </c>
      <c r="H19" s="77">
        <v>12</v>
      </c>
      <c r="I19" s="190">
        <f t="shared" ref="I19:I23" si="8">IFERROR(AVERAGE(C19:H19),0)</f>
        <v>12</v>
      </c>
      <c r="J19" s="190">
        <f t="shared" ref="J19:J23" si="9">SUM(C19:H19)</f>
        <v>72</v>
      </c>
      <c r="L19" s="684"/>
    </row>
    <row r="20" spans="1:12" x14ac:dyDescent="0.3">
      <c r="A20" s="36" t="s">
        <v>70</v>
      </c>
      <c r="B20" s="37">
        <f>IFERROR(J20/J$13,"-")</f>
        <v>1345.8600000000004</v>
      </c>
      <c r="C20" s="347">
        <v>60563.700000000012</v>
      </c>
      <c r="D20" s="348">
        <v>60563.700000000012</v>
      </c>
      <c r="E20" s="348">
        <v>60563.700000000012</v>
      </c>
      <c r="F20" s="348">
        <v>60563.700000000012</v>
      </c>
      <c r="G20" s="348">
        <v>60563.700000000012</v>
      </c>
      <c r="H20" s="349">
        <v>60563.700000000012</v>
      </c>
      <c r="I20" s="39">
        <f t="shared" si="8"/>
        <v>60563.700000000012</v>
      </c>
      <c r="J20" s="39">
        <f t="shared" si="9"/>
        <v>363382.20000000007</v>
      </c>
      <c r="L20" s="495" t="s">
        <v>308</v>
      </c>
    </row>
    <row r="21" spans="1:12" x14ac:dyDescent="0.3">
      <c r="A21" s="36" t="s">
        <v>204</v>
      </c>
      <c r="B21" s="37">
        <f t="shared" ref="B21:B22" si="10">IFERROR(J21/J$13,"-")</f>
        <v>354</v>
      </c>
      <c r="C21" s="350">
        <v>15930</v>
      </c>
      <c r="D21" s="327">
        <v>15930</v>
      </c>
      <c r="E21" s="327">
        <v>15930</v>
      </c>
      <c r="F21" s="327">
        <v>15930</v>
      </c>
      <c r="G21" s="327">
        <v>15930</v>
      </c>
      <c r="H21" s="328">
        <v>15930</v>
      </c>
      <c r="I21" s="39">
        <f t="shared" si="8"/>
        <v>15930</v>
      </c>
      <c r="J21" s="39">
        <f t="shared" si="9"/>
        <v>95580</v>
      </c>
      <c r="L21" s="247" t="s">
        <v>310</v>
      </c>
    </row>
    <row r="22" spans="1:12" x14ac:dyDescent="0.3">
      <c r="A22" s="36" t="s">
        <v>76</v>
      </c>
      <c r="B22" s="37">
        <f t="shared" si="10"/>
        <v>200</v>
      </c>
      <c r="C22" s="350">
        <v>9000</v>
      </c>
      <c r="D22" s="327">
        <v>9000</v>
      </c>
      <c r="E22" s="327">
        <v>9000</v>
      </c>
      <c r="F22" s="327">
        <v>9000</v>
      </c>
      <c r="G22" s="327">
        <v>9000</v>
      </c>
      <c r="H22" s="328">
        <v>9000</v>
      </c>
      <c r="I22" s="39">
        <f t="shared" si="8"/>
        <v>9000</v>
      </c>
      <c r="J22" s="39">
        <f t="shared" si="9"/>
        <v>54000</v>
      </c>
      <c r="L22" s="496" t="s">
        <v>310</v>
      </c>
    </row>
    <row r="23" spans="1:12" x14ac:dyDescent="0.3">
      <c r="A23" s="18" t="s">
        <v>8</v>
      </c>
      <c r="B23" s="34">
        <f>IFERROR(J23/J$14,"-")</f>
        <v>1899.8600000000004</v>
      </c>
      <c r="C23" s="60">
        <f>SUM(C20:C22)</f>
        <v>85493.700000000012</v>
      </c>
      <c r="D23" s="19">
        <f t="shared" ref="D23:H23" si="11">SUM(D20:D22)</f>
        <v>85493.700000000012</v>
      </c>
      <c r="E23" s="19">
        <f t="shared" si="11"/>
        <v>85493.700000000012</v>
      </c>
      <c r="F23" s="19">
        <f t="shared" si="11"/>
        <v>85493.700000000012</v>
      </c>
      <c r="G23" s="19">
        <f t="shared" si="11"/>
        <v>85493.700000000012</v>
      </c>
      <c r="H23" s="35">
        <f t="shared" si="11"/>
        <v>85493.700000000012</v>
      </c>
      <c r="I23" s="35">
        <f t="shared" si="8"/>
        <v>85493.700000000012</v>
      </c>
      <c r="J23" s="35">
        <f t="shared" si="9"/>
        <v>512962.20000000007</v>
      </c>
      <c r="L23" s="195"/>
    </row>
    <row r="24" spans="1:12" ht="14.5" x14ac:dyDescent="0.35">
      <c r="L24"/>
    </row>
    <row r="25" spans="1:12" ht="14.5" x14ac:dyDescent="0.35">
      <c r="L25"/>
    </row>
    <row r="26" spans="1:12" ht="14.5" x14ac:dyDescent="0.35">
      <c r="L26"/>
    </row>
    <row r="27" spans="1:12" ht="14.5" x14ac:dyDescent="0.35">
      <c r="L27"/>
    </row>
    <row r="28" spans="1:12" ht="14.5" x14ac:dyDescent="0.35">
      <c r="L28"/>
    </row>
    <row r="29" spans="1:12" ht="14.5" x14ac:dyDescent="0.35">
      <c r="L29"/>
    </row>
    <row r="30" spans="1:12" ht="14.5" x14ac:dyDescent="0.35">
      <c r="L30"/>
    </row>
    <row r="31" spans="1:12" ht="14.5" x14ac:dyDescent="0.35">
      <c r="L31"/>
    </row>
    <row r="32" spans="1:12" ht="14.5" x14ac:dyDescent="0.35">
      <c r="L32"/>
    </row>
    <row r="33" spans="12:12" ht="14.5" x14ac:dyDescent="0.35">
      <c r="L33"/>
    </row>
    <row r="34" spans="12:12" ht="14.5" x14ac:dyDescent="0.35">
      <c r="L34"/>
    </row>
    <row r="35" spans="12:12" ht="14.5" x14ac:dyDescent="0.35">
      <c r="L35"/>
    </row>
    <row r="36" spans="12:12" ht="14.5" x14ac:dyDescent="0.35">
      <c r="L36"/>
    </row>
    <row r="37" spans="12:12" ht="14.5" x14ac:dyDescent="0.35">
      <c r="L37"/>
    </row>
    <row r="38" spans="12:12" ht="14.5" x14ac:dyDescent="0.35">
      <c r="L38"/>
    </row>
    <row r="39" spans="12:12" ht="14.5" x14ac:dyDescent="0.35">
      <c r="L39"/>
    </row>
    <row r="40" spans="12:12" ht="14.5" x14ac:dyDescent="0.35">
      <c r="L40"/>
    </row>
    <row r="41" spans="12:12" ht="14.5" x14ac:dyDescent="0.35">
      <c r="L41"/>
    </row>
    <row r="42" spans="12:12" ht="14.5" x14ac:dyDescent="0.35">
      <c r="L42"/>
    </row>
    <row r="43" spans="12:12" ht="14.5" x14ac:dyDescent="0.35">
      <c r="L43"/>
    </row>
    <row r="44" spans="12:12" ht="14.5" x14ac:dyDescent="0.35">
      <c r="L44"/>
    </row>
    <row r="45" spans="12:12" ht="14.5" x14ac:dyDescent="0.35">
      <c r="L45"/>
    </row>
    <row r="46" spans="12:12" ht="14.5" x14ac:dyDescent="0.35">
      <c r="L46"/>
    </row>
    <row r="47" spans="12:12" ht="14.5" x14ac:dyDescent="0.35">
      <c r="L47"/>
    </row>
    <row r="48" spans="12:12" ht="14.5" x14ac:dyDescent="0.35">
      <c r="L48"/>
    </row>
    <row r="49" spans="12:12" ht="14.5" x14ac:dyDescent="0.35">
      <c r="L49"/>
    </row>
    <row r="50" spans="12:12" ht="14.5" x14ac:dyDescent="0.35">
      <c r="L50"/>
    </row>
    <row r="51" spans="12:12" ht="14.5" x14ac:dyDescent="0.35">
      <c r="L51"/>
    </row>
    <row r="52" spans="12:12" ht="14.5" x14ac:dyDescent="0.35">
      <c r="L52"/>
    </row>
    <row r="53" spans="12:12" ht="14.5" x14ac:dyDescent="0.35">
      <c r="L53"/>
    </row>
    <row r="54" spans="12:12" ht="14.5" x14ac:dyDescent="0.35">
      <c r="L54"/>
    </row>
    <row r="55" spans="12:12" ht="14.5" x14ac:dyDescent="0.35">
      <c r="L55"/>
    </row>
    <row r="56" spans="12:12" ht="14.5" x14ac:dyDescent="0.35">
      <c r="L56"/>
    </row>
    <row r="57" spans="12:12" ht="14.5" x14ac:dyDescent="0.35">
      <c r="L57"/>
    </row>
    <row r="58" spans="12:12" ht="14.5" x14ac:dyDescent="0.35">
      <c r="L58"/>
    </row>
    <row r="59" spans="12:12" ht="14.5" x14ac:dyDescent="0.35">
      <c r="L59"/>
    </row>
    <row r="60" spans="12:12" ht="14.5" x14ac:dyDescent="0.35">
      <c r="L60"/>
    </row>
    <row r="61" spans="12:12" ht="14.5" x14ac:dyDescent="0.35">
      <c r="L61"/>
    </row>
    <row r="62" spans="12:12" ht="14.5" x14ac:dyDescent="0.35">
      <c r="L62"/>
    </row>
    <row r="63" spans="12:12" ht="14.5" x14ac:dyDescent="0.35">
      <c r="L63"/>
    </row>
    <row r="64" spans="12:12" ht="14.5" x14ac:dyDescent="0.35">
      <c r="L64"/>
    </row>
    <row r="65" spans="12:12" ht="14.5" x14ac:dyDescent="0.35">
      <c r="L65"/>
    </row>
    <row r="66" spans="12:12" ht="14.5" x14ac:dyDescent="0.35">
      <c r="L66"/>
    </row>
    <row r="67" spans="12:12" ht="14.5" x14ac:dyDescent="0.35">
      <c r="L67"/>
    </row>
    <row r="68" spans="12:12" ht="14.5" x14ac:dyDescent="0.35">
      <c r="L68"/>
    </row>
    <row r="69" spans="12:12" ht="14.5" x14ac:dyDescent="0.35">
      <c r="L69"/>
    </row>
    <row r="70" spans="12:12" ht="14.5" x14ac:dyDescent="0.35">
      <c r="L70"/>
    </row>
    <row r="71" spans="12:12" ht="14.5" x14ac:dyDescent="0.35">
      <c r="L71"/>
    </row>
    <row r="72" spans="12:12" ht="14.5" x14ac:dyDescent="0.35">
      <c r="L72"/>
    </row>
    <row r="73" spans="12:12" ht="14.5" x14ac:dyDescent="0.35">
      <c r="L73"/>
    </row>
    <row r="74" spans="12:12" ht="14.5" x14ac:dyDescent="0.35">
      <c r="L74"/>
    </row>
    <row r="75" spans="12:12" ht="14.5" x14ac:dyDescent="0.35">
      <c r="L75"/>
    </row>
    <row r="76" spans="12:12" ht="14.5" x14ac:dyDescent="0.35">
      <c r="L76"/>
    </row>
    <row r="77" spans="12:12" ht="14.5" x14ac:dyDescent="0.35">
      <c r="L77"/>
    </row>
    <row r="78" spans="12:12" ht="14.5" x14ac:dyDescent="0.35">
      <c r="L78"/>
    </row>
    <row r="79" spans="12:12" ht="14.5" x14ac:dyDescent="0.35">
      <c r="L79"/>
    </row>
    <row r="80" spans="12:12" ht="14.5" x14ac:dyDescent="0.35">
      <c r="L80"/>
    </row>
    <row r="81" spans="12:12" ht="14.5" x14ac:dyDescent="0.35">
      <c r="L81"/>
    </row>
    <row r="82" spans="12:12" ht="14.5" x14ac:dyDescent="0.35">
      <c r="L82"/>
    </row>
    <row r="83" spans="12:12" ht="14.5" x14ac:dyDescent="0.35">
      <c r="L83"/>
    </row>
    <row r="84" spans="12:12" ht="14.5" x14ac:dyDescent="0.35">
      <c r="L84"/>
    </row>
    <row r="85" spans="12:12" ht="14.5" x14ac:dyDescent="0.35">
      <c r="L85"/>
    </row>
    <row r="86" spans="12:12" ht="14.5" x14ac:dyDescent="0.35">
      <c r="L86"/>
    </row>
    <row r="87" spans="12:12" ht="14.5" x14ac:dyDescent="0.35">
      <c r="L87"/>
    </row>
    <row r="88" spans="12:12" ht="14.5" x14ac:dyDescent="0.35">
      <c r="L88"/>
    </row>
    <row r="89" spans="12:12" ht="14.5" x14ac:dyDescent="0.35">
      <c r="L89"/>
    </row>
    <row r="90" spans="12:12" ht="14.5" x14ac:dyDescent="0.35">
      <c r="L90"/>
    </row>
    <row r="91" spans="12:12" ht="14.5" x14ac:dyDescent="0.35">
      <c r="L91"/>
    </row>
    <row r="92" spans="12:12" ht="14.5" x14ac:dyDescent="0.35">
      <c r="L92"/>
    </row>
    <row r="93" spans="12:12" ht="14.5" x14ac:dyDescent="0.35">
      <c r="L93"/>
    </row>
    <row r="94" spans="12:12" ht="14.5" x14ac:dyDescent="0.35">
      <c r="L94"/>
    </row>
    <row r="95" spans="12:12" ht="14.5" x14ac:dyDescent="0.35">
      <c r="L95"/>
    </row>
    <row r="96" spans="12:12" ht="14.5" x14ac:dyDescent="0.35">
      <c r="L96"/>
    </row>
    <row r="97" spans="12:12" ht="14.5" x14ac:dyDescent="0.35">
      <c r="L97"/>
    </row>
    <row r="98" spans="12:12" ht="14.5" x14ac:dyDescent="0.35">
      <c r="L98"/>
    </row>
    <row r="99" spans="12:12" ht="14.5" x14ac:dyDescent="0.35">
      <c r="L99"/>
    </row>
    <row r="100" spans="12:12" ht="14.5" x14ac:dyDescent="0.35">
      <c r="L100"/>
    </row>
    <row r="101" spans="12:12" ht="14.5" x14ac:dyDescent="0.35">
      <c r="L101"/>
    </row>
    <row r="102" spans="12:12" ht="14.5" x14ac:dyDescent="0.35">
      <c r="L102"/>
    </row>
    <row r="103" spans="12:12" ht="14.5" x14ac:dyDescent="0.35">
      <c r="L103"/>
    </row>
    <row r="104" spans="12:12" ht="14.5" x14ac:dyDescent="0.35">
      <c r="L104"/>
    </row>
    <row r="105" spans="12:12" ht="14.5" x14ac:dyDescent="0.35">
      <c r="L105"/>
    </row>
    <row r="106" spans="12:12" ht="14.5" x14ac:dyDescent="0.35">
      <c r="L106"/>
    </row>
    <row r="107" spans="12:12" ht="14.5" x14ac:dyDescent="0.35">
      <c r="L107"/>
    </row>
    <row r="108" spans="12:12" ht="14.5" x14ac:dyDescent="0.35">
      <c r="L108"/>
    </row>
    <row r="109" spans="12:12" ht="14.5" x14ac:dyDescent="0.35">
      <c r="L109"/>
    </row>
    <row r="110" spans="12:12" ht="14.5" x14ac:dyDescent="0.35">
      <c r="L110"/>
    </row>
    <row r="111" spans="12:12" ht="14.5" x14ac:dyDescent="0.35">
      <c r="L111"/>
    </row>
    <row r="112" spans="12:12" ht="14.5" x14ac:dyDescent="0.35">
      <c r="L112"/>
    </row>
    <row r="113" spans="12:12" ht="14.5" x14ac:dyDescent="0.35">
      <c r="L113"/>
    </row>
    <row r="114" spans="12:12" ht="14.5" x14ac:dyDescent="0.35">
      <c r="L114"/>
    </row>
    <row r="115" spans="12:12" ht="14.5" x14ac:dyDescent="0.35">
      <c r="L115"/>
    </row>
    <row r="116" spans="12:12" ht="14.5" x14ac:dyDescent="0.35">
      <c r="L116"/>
    </row>
    <row r="117" spans="12:12" ht="14.5" x14ac:dyDescent="0.35">
      <c r="L117"/>
    </row>
    <row r="118" spans="12:12" ht="14.5" x14ac:dyDescent="0.35">
      <c r="L118"/>
    </row>
    <row r="119" spans="12:12" ht="14.5" x14ac:dyDescent="0.35">
      <c r="L119"/>
    </row>
    <row r="120" spans="12:12" ht="14.5" x14ac:dyDescent="0.35">
      <c r="L120"/>
    </row>
    <row r="121" spans="12:12" ht="14.5" x14ac:dyDescent="0.35">
      <c r="L121"/>
    </row>
    <row r="122" spans="12:12" ht="14.5" x14ac:dyDescent="0.35">
      <c r="L122"/>
    </row>
    <row r="123" spans="12:12" ht="14.5" x14ac:dyDescent="0.35">
      <c r="L123"/>
    </row>
    <row r="124" spans="12:12" ht="14.5" x14ac:dyDescent="0.35">
      <c r="L124"/>
    </row>
    <row r="125" spans="12:12" ht="14.5" x14ac:dyDescent="0.35">
      <c r="L125"/>
    </row>
    <row r="126" spans="12:12" ht="14.5" x14ac:dyDescent="0.35">
      <c r="L126"/>
    </row>
    <row r="127" spans="12:12" ht="14.5" x14ac:dyDescent="0.35">
      <c r="L127"/>
    </row>
    <row r="128" spans="12:12" ht="14.5" x14ac:dyDescent="0.35">
      <c r="L128"/>
    </row>
    <row r="129" spans="12:12" ht="14.5" x14ac:dyDescent="0.35">
      <c r="L129"/>
    </row>
    <row r="130" spans="12:12" ht="14.5" x14ac:dyDescent="0.35">
      <c r="L130"/>
    </row>
    <row r="131" spans="12:12" ht="14.5" x14ac:dyDescent="0.35">
      <c r="L131"/>
    </row>
    <row r="132" spans="12:12" ht="14.5" x14ac:dyDescent="0.35">
      <c r="L132"/>
    </row>
    <row r="133" spans="12:12" ht="14.5" x14ac:dyDescent="0.35">
      <c r="L133"/>
    </row>
    <row r="134" spans="12:12" ht="14.5" x14ac:dyDescent="0.35">
      <c r="L134"/>
    </row>
    <row r="135" spans="12:12" ht="14.5" x14ac:dyDescent="0.35">
      <c r="L135"/>
    </row>
    <row r="136" spans="12:12" ht="14.5" x14ac:dyDescent="0.35">
      <c r="L136"/>
    </row>
    <row r="137" spans="12:12" ht="14.5" x14ac:dyDescent="0.35">
      <c r="L137"/>
    </row>
    <row r="138" spans="12:12" ht="14.5" x14ac:dyDescent="0.35">
      <c r="L138"/>
    </row>
    <row r="139" spans="12:12" ht="14.5" x14ac:dyDescent="0.35">
      <c r="L139"/>
    </row>
    <row r="140" spans="12:12" ht="14.5" x14ac:dyDescent="0.35">
      <c r="L140"/>
    </row>
    <row r="141" spans="12:12" ht="14.5" x14ac:dyDescent="0.35">
      <c r="L141"/>
    </row>
    <row r="142" spans="12:12" ht="14.5" x14ac:dyDescent="0.35">
      <c r="L142"/>
    </row>
    <row r="143" spans="12:12" ht="14.5" x14ac:dyDescent="0.35">
      <c r="L143"/>
    </row>
    <row r="144" spans="12:12" ht="14.5" x14ac:dyDescent="0.35">
      <c r="L144"/>
    </row>
    <row r="145" spans="12:12" ht="14.5" x14ac:dyDescent="0.35">
      <c r="L145"/>
    </row>
    <row r="146" spans="12:12" ht="14.5" x14ac:dyDescent="0.35">
      <c r="L146"/>
    </row>
    <row r="147" spans="12:12" ht="14.5" x14ac:dyDescent="0.35">
      <c r="L147"/>
    </row>
    <row r="148" spans="12:12" ht="14.5" x14ac:dyDescent="0.35">
      <c r="L148"/>
    </row>
    <row r="149" spans="12:12" ht="14.5" x14ac:dyDescent="0.35">
      <c r="L149"/>
    </row>
    <row r="150" spans="12:12" ht="14.5" x14ac:dyDescent="0.35">
      <c r="L150"/>
    </row>
    <row r="151" spans="12:12" ht="14.5" x14ac:dyDescent="0.35">
      <c r="L151"/>
    </row>
    <row r="152" spans="12:12" ht="14.5" x14ac:dyDescent="0.35">
      <c r="L152"/>
    </row>
    <row r="153" spans="12:12" ht="14.5" x14ac:dyDescent="0.35">
      <c r="L153"/>
    </row>
    <row r="154" spans="12:12" ht="14.5" x14ac:dyDescent="0.35">
      <c r="L154"/>
    </row>
    <row r="155" spans="12:12" ht="14.5" x14ac:dyDescent="0.35">
      <c r="L155"/>
    </row>
    <row r="156" spans="12:12" ht="14.5" x14ac:dyDescent="0.35">
      <c r="L156"/>
    </row>
    <row r="157" spans="12:12" ht="14.5" x14ac:dyDescent="0.35">
      <c r="L157"/>
    </row>
    <row r="158" spans="12:12" ht="14.5" x14ac:dyDescent="0.35">
      <c r="L158"/>
    </row>
    <row r="159" spans="12:12" ht="14.5" x14ac:dyDescent="0.35">
      <c r="L159"/>
    </row>
    <row r="160" spans="12:12" ht="14.5" x14ac:dyDescent="0.35">
      <c r="L160"/>
    </row>
    <row r="161" spans="12:12" ht="14.5" x14ac:dyDescent="0.35">
      <c r="L161"/>
    </row>
    <row r="162" spans="12:12" ht="14.5" x14ac:dyDescent="0.35">
      <c r="L162"/>
    </row>
  </sheetData>
  <mergeCells count="10">
    <mergeCell ref="A18:A19"/>
    <mergeCell ref="B18:B19"/>
    <mergeCell ref="L18:L19"/>
    <mergeCell ref="A1:J1"/>
    <mergeCell ref="A7:A8"/>
    <mergeCell ref="B7:B8"/>
    <mergeCell ref="L7:L8"/>
    <mergeCell ref="A11:A12"/>
    <mergeCell ref="B11:B12"/>
    <mergeCell ref="L11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4" orientation="landscape" r:id="rId1"/>
  <headerFooter>
    <oddHeader>&amp;L&amp;F&amp;R&amp;A</oddHeader>
    <oddFooter>&amp;L&amp;D&amp;C&amp;P/&amp;N&amp;R&amp;T</oddFooter>
  </headerFooter>
  <ignoredErrors>
    <ignoredError sqref="C14:H14 I20:J20 C23:H2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/>
  </sheetPr>
  <dimension ref="A1:AA220"/>
  <sheetViews>
    <sheetView showGridLines="0" view="pageBreakPreview" zoomScale="85" zoomScaleNormal="100" zoomScaleSheetLayoutView="85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sqref="A1:J1"/>
    </sheetView>
  </sheetViews>
  <sheetFormatPr baseColWidth="10" defaultColWidth="11.26953125" defaultRowHeight="13.15" customHeight="1" x14ac:dyDescent="0.35"/>
  <cols>
    <col min="1" max="1" width="46" style="2" bestFit="1" customWidth="1"/>
    <col min="2" max="2" width="11.81640625" style="2" customWidth="1"/>
    <col min="3" max="7" width="9.81640625" style="2" bestFit="1" customWidth="1"/>
    <col min="8" max="9" width="10.1796875" style="2" customWidth="1"/>
    <col min="10" max="10" width="11.1796875" style="2" customWidth="1"/>
    <col min="11" max="11" width="6.7265625" style="2" customWidth="1"/>
    <col min="12" max="12" width="20.7265625" style="11" customWidth="1"/>
    <col min="13" max="13" width="11.26953125" style="271"/>
    <col min="14" max="17" width="11.26953125" style="268"/>
    <col min="18" max="16384" width="11.26953125" style="2"/>
  </cols>
  <sheetData>
    <row r="1" spans="1:18" ht="29.5" customHeight="1" x14ac:dyDescent="0.35">
      <c r="A1" s="664" t="s">
        <v>523</v>
      </c>
      <c r="B1" s="665"/>
      <c r="C1" s="665"/>
      <c r="D1" s="665"/>
      <c r="E1" s="665"/>
      <c r="F1" s="665"/>
      <c r="G1" s="665"/>
      <c r="H1" s="665"/>
      <c r="I1" s="665"/>
      <c r="J1" s="704"/>
      <c r="K1" s="211"/>
      <c r="L1" s="192" t="s">
        <v>304</v>
      </c>
    </row>
    <row r="2" spans="1:18" ht="13.15" customHeight="1" x14ac:dyDescent="0.3">
      <c r="M2" s="268"/>
    </row>
    <row r="3" spans="1:18" ht="27" customHeight="1" x14ac:dyDescent="0.3">
      <c r="A3" s="693" t="s">
        <v>163</v>
      </c>
      <c r="B3" s="678"/>
      <c r="C3" s="3">
        <f>Annee</f>
        <v>2024</v>
      </c>
      <c r="D3" s="291">
        <f>C3+1</f>
        <v>2025</v>
      </c>
      <c r="E3" s="291">
        <f t="shared" ref="E3:G3" si="0">D3+1</f>
        <v>2026</v>
      </c>
      <c r="F3" s="291">
        <f t="shared" si="0"/>
        <v>2027</v>
      </c>
      <c r="G3" s="291">
        <f t="shared" si="0"/>
        <v>2028</v>
      </c>
      <c r="H3" s="295">
        <f>G3+1</f>
        <v>2029</v>
      </c>
      <c r="I3" s="179" t="s">
        <v>271</v>
      </c>
      <c r="J3" s="4" t="s">
        <v>62</v>
      </c>
      <c r="L3" s="683" t="s">
        <v>305</v>
      </c>
      <c r="M3" s="268"/>
    </row>
    <row r="4" spans="1:18" ht="13.15" customHeight="1" x14ac:dyDescent="0.3">
      <c r="A4" s="692"/>
      <c r="B4" s="679"/>
      <c r="C4" s="77">
        <v>12</v>
      </c>
      <c r="D4" s="77">
        <v>12</v>
      </c>
      <c r="E4" s="77">
        <v>12</v>
      </c>
      <c r="F4" s="77">
        <v>12</v>
      </c>
      <c r="G4" s="77">
        <v>12</v>
      </c>
      <c r="H4" s="181">
        <v>12</v>
      </c>
      <c r="I4" s="78">
        <f t="shared" ref="I4:I38" si="1">IFERROR(AVERAGE(C4:H4),0)</f>
        <v>12</v>
      </c>
      <c r="J4" s="78">
        <f t="shared" ref="J4:J38" si="2">SUM(C4:H4)</f>
        <v>72</v>
      </c>
      <c r="L4" s="699"/>
      <c r="M4" s="268"/>
      <c r="R4" s="268"/>
    </row>
    <row r="5" spans="1:18" ht="13.15" customHeight="1" x14ac:dyDescent="0.3">
      <c r="A5" s="50" t="s">
        <v>25</v>
      </c>
      <c r="B5" s="53"/>
      <c r="C5" s="357">
        <f>SUM(C6:C23)</f>
        <v>1879401.2303314297</v>
      </c>
      <c r="D5" s="293">
        <f t="shared" ref="D5:H5" si="3">SUM(D6:D23)</f>
        <v>1823877.8703314299</v>
      </c>
      <c r="E5" s="293">
        <f t="shared" si="3"/>
        <v>1893127.8703314299</v>
      </c>
      <c r="F5" s="293">
        <f t="shared" si="3"/>
        <v>1795627.8703314299</v>
      </c>
      <c r="G5" s="293">
        <f t="shared" si="3"/>
        <v>1858127.8703314299</v>
      </c>
      <c r="H5" s="292">
        <f t="shared" si="3"/>
        <v>1796627.8703314299</v>
      </c>
      <c r="I5" s="54">
        <f t="shared" si="1"/>
        <v>1841131.7636647634</v>
      </c>
      <c r="J5" s="54">
        <f t="shared" si="2"/>
        <v>11046790.581988581</v>
      </c>
      <c r="L5" s="208" t="s">
        <v>318</v>
      </c>
      <c r="M5" s="268"/>
      <c r="R5" s="268"/>
    </row>
    <row r="6" spans="1:18" ht="13.15" customHeight="1" x14ac:dyDescent="0.3">
      <c r="A6" s="252" t="s">
        <v>26</v>
      </c>
      <c r="B6" s="253"/>
      <c r="C6" s="322">
        <v>0</v>
      </c>
      <c r="D6" s="322">
        <v>0</v>
      </c>
      <c r="E6" s="322">
        <v>0</v>
      </c>
      <c r="F6" s="322">
        <v>0</v>
      </c>
      <c r="G6" s="322">
        <v>0</v>
      </c>
      <c r="H6" s="373">
        <v>0</v>
      </c>
      <c r="I6" s="204">
        <f t="shared" si="1"/>
        <v>0</v>
      </c>
      <c r="J6" s="204">
        <f t="shared" si="2"/>
        <v>0</v>
      </c>
      <c r="L6" s="208"/>
      <c r="M6" s="268"/>
      <c r="R6" s="268"/>
    </row>
    <row r="7" spans="1:18" ht="13.15" customHeight="1" x14ac:dyDescent="0.3">
      <c r="A7" s="254" t="s">
        <v>27</v>
      </c>
      <c r="B7" s="253"/>
      <c r="C7" s="316">
        <v>0</v>
      </c>
      <c r="D7" s="316">
        <v>0</v>
      </c>
      <c r="E7" s="316">
        <v>0</v>
      </c>
      <c r="F7" s="316">
        <v>0</v>
      </c>
      <c r="G7" s="316">
        <v>0</v>
      </c>
      <c r="H7" s="317">
        <v>0</v>
      </c>
      <c r="I7" s="205">
        <f t="shared" si="1"/>
        <v>0</v>
      </c>
      <c r="J7" s="205">
        <f t="shared" si="2"/>
        <v>0</v>
      </c>
      <c r="L7" s="209"/>
      <c r="M7" s="268"/>
      <c r="R7" s="268"/>
    </row>
    <row r="8" spans="1:18" ht="13.15" customHeight="1" x14ac:dyDescent="0.3">
      <c r="A8" s="254" t="s">
        <v>28</v>
      </c>
      <c r="B8" s="253"/>
      <c r="C8" s="316">
        <v>0</v>
      </c>
      <c r="D8" s="316">
        <v>0</v>
      </c>
      <c r="E8" s="316">
        <v>0</v>
      </c>
      <c r="F8" s="316">
        <v>0</v>
      </c>
      <c r="G8" s="316">
        <v>0</v>
      </c>
      <c r="H8" s="317">
        <v>0</v>
      </c>
      <c r="I8" s="205">
        <f t="shared" si="1"/>
        <v>0</v>
      </c>
      <c r="J8" s="205">
        <f t="shared" si="2"/>
        <v>0</v>
      </c>
      <c r="L8" s="209"/>
      <c r="M8" s="268"/>
      <c r="R8" s="268"/>
    </row>
    <row r="9" spans="1:18" ht="13.15" customHeight="1" x14ac:dyDescent="0.3">
      <c r="A9" s="255" t="s">
        <v>29</v>
      </c>
      <c r="B9" s="253"/>
      <c r="C9" s="316">
        <v>88000</v>
      </c>
      <c r="D9" s="316">
        <v>36000</v>
      </c>
      <c r="E9" s="316">
        <v>128000</v>
      </c>
      <c r="F9" s="316">
        <v>36000</v>
      </c>
      <c r="G9" s="316">
        <v>88000</v>
      </c>
      <c r="H9" s="317">
        <v>36000</v>
      </c>
      <c r="I9" s="205">
        <f t="shared" si="1"/>
        <v>68666.666666666672</v>
      </c>
      <c r="J9" s="205">
        <f t="shared" si="2"/>
        <v>412000</v>
      </c>
      <c r="L9" s="209"/>
      <c r="M9" s="268"/>
      <c r="R9" s="268"/>
    </row>
    <row r="10" spans="1:18" ht="13.15" customHeight="1" x14ac:dyDescent="0.3">
      <c r="A10" s="255" t="s">
        <v>30</v>
      </c>
      <c r="B10" s="253"/>
      <c r="C10" s="316">
        <v>610250</v>
      </c>
      <c r="D10" s="316">
        <v>610250</v>
      </c>
      <c r="E10" s="316">
        <v>584000</v>
      </c>
      <c r="F10" s="316">
        <v>576000</v>
      </c>
      <c r="G10" s="316">
        <v>584000</v>
      </c>
      <c r="H10" s="317">
        <v>573000</v>
      </c>
      <c r="I10" s="205">
        <f t="shared" si="1"/>
        <v>589583.33333333337</v>
      </c>
      <c r="J10" s="205">
        <f t="shared" si="2"/>
        <v>3537500</v>
      </c>
      <c r="L10" s="209"/>
      <c r="M10" s="268"/>
      <c r="R10" s="268"/>
    </row>
    <row r="11" spans="1:18" ht="13.15" customHeight="1" x14ac:dyDescent="0.3">
      <c r="A11" s="255" t="s">
        <v>31</v>
      </c>
      <c r="B11" s="253"/>
      <c r="C11" s="316">
        <v>0</v>
      </c>
      <c r="D11" s="316">
        <v>0</v>
      </c>
      <c r="E11" s="316">
        <v>0</v>
      </c>
      <c r="F11" s="316">
        <v>0</v>
      </c>
      <c r="G11" s="316">
        <v>0</v>
      </c>
      <c r="H11" s="317">
        <v>0</v>
      </c>
      <c r="I11" s="205">
        <f t="shared" si="1"/>
        <v>0</v>
      </c>
      <c r="J11" s="205">
        <f t="shared" si="2"/>
        <v>0</v>
      </c>
      <c r="L11" s="209"/>
      <c r="M11" s="268"/>
      <c r="R11" s="268"/>
    </row>
    <row r="12" spans="1:18" ht="13.15" customHeight="1" x14ac:dyDescent="0.3">
      <c r="A12" s="255" t="s">
        <v>32</v>
      </c>
      <c r="B12" s="253"/>
      <c r="C12" s="316">
        <v>0</v>
      </c>
      <c r="D12" s="316">
        <v>0</v>
      </c>
      <c r="E12" s="316">
        <v>0</v>
      </c>
      <c r="F12" s="316">
        <v>0</v>
      </c>
      <c r="G12" s="316">
        <v>0</v>
      </c>
      <c r="H12" s="317">
        <v>0</v>
      </c>
      <c r="I12" s="205">
        <f t="shared" si="1"/>
        <v>0</v>
      </c>
      <c r="J12" s="205">
        <f t="shared" si="2"/>
        <v>0</v>
      </c>
      <c r="L12" s="209"/>
      <c r="M12" s="268"/>
      <c r="R12" s="268"/>
    </row>
    <row r="13" spans="1:18" ht="13.15" customHeight="1" x14ac:dyDescent="0.3">
      <c r="A13" s="255" t="s">
        <v>33</v>
      </c>
      <c r="B13" s="253"/>
      <c r="C13" s="316">
        <v>144996</v>
      </c>
      <c r="D13" s="316">
        <v>144996</v>
      </c>
      <c r="E13" s="316">
        <v>144996</v>
      </c>
      <c r="F13" s="316">
        <v>144996</v>
      </c>
      <c r="G13" s="316">
        <v>144996</v>
      </c>
      <c r="H13" s="317">
        <v>144996</v>
      </c>
      <c r="I13" s="205">
        <f t="shared" si="1"/>
        <v>144996</v>
      </c>
      <c r="J13" s="205">
        <f t="shared" si="2"/>
        <v>869976</v>
      </c>
      <c r="L13" s="209"/>
      <c r="M13" s="268"/>
      <c r="R13" s="268"/>
    </row>
    <row r="14" spans="1:18" ht="13.15" customHeight="1" x14ac:dyDescent="0.3">
      <c r="A14" s="255" t="s">
        <v>34</v>
      </c>
      <c r="B14" s="253"/>
      <c r="C14" s="316">
        <v>906155.23033142975</v>
      </c>
      <c r="D14" s="316">
        <v>902631.87033142976</v>
      </c>
      <c r="E14" s="316">
        <v>906131.87033142976</v>
      </c>
      <c r="F14" s="316">
        <v>908631.87033142976</v>
      </c>
      <c r="G14" s="316">
        <v>911131.87033142976</v>
      </c>
      <c r="H14" s="317">
        <v>912631.87033142976</v>
      </c>
      <c r="I14" s="205">
        <f t="shared" si="1"/>
        <v>907885.76366476307</v>
      </c>
      <c r="J14" s="205">
        <f t="shared" si="2"/>
        <v>5447314.5819885787</v>
      </c>
      <c r="L14" s="209"/>
      <c r="M14" s="268"/>
      <c r="R14" s="268"/>
    </row>
    <row r="15" spans="1:18" ht="13.15" customHeight="1" x14ac:dyDescent="0.3">
      <c r="A15" s="255" t="s">
        <v>35</v>
      </c>
      <c r="B15" s="253"/>
      <c r="C15" s="316">
        <v>0</v>
      </c>
      <c r="D15" s="316">
        <v>0</v>
      </c>
      <c r="E15" s="316">
        <v>0</v>
      </c>
      <c r="F15" s="316">
        <v>0</v>
      </c>
      <c r="G15" s="316">
        <v>0</v>
      </c>
      <c r="H15" s="317">
        <v>0</v>
      </c>
      <c r="I15" s="205">
        <f t="shared" si="1"/>
        <v>0</v>
      </c>
      <c r="J15" s="205">
        <f t="shared" si="2"/>
        <v>0</v>
      </c>
      <c r="L15" s="209"/>
      <c r="M15" s="268"/>
      <c r="R15" s="268"/>
    </row>
    <row r="16" spans="1:18" ht="13.15" customHeight="1" x14ac:dyDescent="0.3">
      <c r="A16" s="255" t="s">
        <v>36</v>
      </c>
      <c r="B16" s="253"/>
      <c r="C16" s="316">
        <v>0</v>
      </c>
      <c r="D16" s="316">
        <v>0</v>
      </c>
      <c r="E16" s="316">
        <v>0</v>
      </c>
      <c r="F16" s="316">
        <v>0</v>
      </c>
      <c r="G16" s="316">
        <v>0</v>
      </c>
      <c r="H16" s="317">
        <v>0</v>
      </c>
      <c r="I16" s="205">
        <f t="shared" si="1"/>
        <v>0</v>
      </c>
      <c r="J16" s="205">
        <f t="shared" si="2"/>
        <v>0</v>
      </c>
      <c r="L16" s="209"/>
      <c r="M16" s="268"/>
      <c r="R16" s="268"/>
    </row>
    <row r="17" spans="1:18" ht="13.15" customHeight="1" x14ac:dyDescent="0.3">
      <c r="A17" s="255" t="s">
        <v>98</v>
      </c>
      <c r="B17" s="253"/>
      <c r="C17" s="316">
        <v>0</v>
      </c>
      <c r="D17" s="316">
        <v>0</v>
      </c>
      <c r="E17" s="316">
        <v>0</v>
      </c>
      <c r="F17" s="316">
        <v>0</v>
      </c>
      <c r="G17" s="316">
        <v>0</v>
      </c>
      <c r="H17" s="317">
        <v>0</v>
      </c>
      <c r="I17" s="205">
        <f t="shared" si="1"/>
        <v>0</v>
      </c>
      <c r="J17" s="205">
        <f t="shared" si="2"/>
        <v>0</v>
      </c>
      <c r="L17" s="209"/>
      <c r="M17" s="268"/>
      <c r="R17" s="268"/>
    </row>
    <row r="18" spans="1:18" ht="13.15" customHeight="1" x14ac:dyDescent="0.3">
      <c r="A18" s="255" t="s">
        <v>37</v>
      </c>
      <c r="B18" s="253"/>
      <c r="C18" s="316">
        <v>0</v>
      </c>
      <c r="D18" s="316">
        <v>0</v>
      </c>
      <c r="E18" s="316">
        <v>0</v>
      </c>
      <c r="F18" s="316">
        <v>0</v>
      </c>
      <c r="G18" s="316">
        <v>0</v>
      </c>
      <c r="H18" s="317">
        <v>0</v>
      </c>
      <c r="I18" s="205">
        <f t="shared" si="1"/>
        <v>0</v>
      </c>
      <c r="J18" s="205">
        <f t="shared" si="2"/>
        <v>0</v>
      </c>
      <c r="L18" s="209"/>
      <c r="M18" s="268"/>
      <c r="R18" s="268"/>
    </row>
    <row r="19" spans="1:18" ht="13.15" customHeight="1" x14ac:dyDescent="0.3">
      <c r="A19" s="255" t="s">
        <v>38</v>
      </c>
      <c r="B19" s="253"/>
      <c r="C19" s="316">
        <v>130000</v>
      </c>
      <c r="D19" s="316">
        <v>130000</v>
      </c>
      <c r="E19" s="316">
        <v>130000</v>
      </c>
      <c r="F19" s="316">
        <v>130000</v>
      </c>
      <c r="G19" s="316">
        <v>130000</v>
      </c>
      <c r="H19" s="317">
        <v>130000</v>
      </c>
      <c r="I19" s="205">
        <f t="shared" si="1"/>
        <v>130000</v>
      </c>
      <c r="J19" s="205">
        <f t="shared" si="2"/>
        <v>780000</v>
      </c>
      <c r="L19" s="209"/>
      <c r="M19" s="268"/>
      <c r="R19" s="268"/>
    </row>
    <row r="20" spans="1:18" ht="13.15" customHeight="1" x14ac:dyDescent="0.3">
      <c r="A20" s="255" t="s">
        <v>39</v>
      </c>
      <c r="B20" s="253"/>
      <c r="C20" s="316">
        <v>0</v>
      </c>
      <c r="D20" s="316">
        <v>0</v>
      </c>
      <c r="E20" s="316">
        <v>0</v>
      </c>
      <c r="F20" s="316">
        <v>0</v>
      </c>
      <c r="G20" s="316">
        <v>0</v>
      </c>
      <c r="H20" s="317">
        <v>0</v>
      </c>
      <c r="I20" s="205">
        <f t="shared" si="1"/>
        <v>0</v>
      </c>
      <c r="J20" s="205">
        <f t="shared" si="2"/>
        <v>0</v>
      </c>
      <c r="L20" s="209"/>
      <c r="M20" s="268"/>
    </row>
    <row r="21" spans="1:18" ht="13.15" customHeight="1" x14ac:dyDescent="0.3">
      <c r="A21" s="255" t="s">
        <v>40</v>
      </c>
      <c r="B21" s="253"/>
      <c r="C21" s="316">
        <v>0</v>
      </c>
      <c r="D21" s="316">
        <v>0</v>
      </c>
      <c r="E21" s="316">
        <v>0</v>
      </c>
      <c r="F21" s="316">
        <v>0</v>
      </c>
      <c r="G21" s="316">
        <v>0</v>
      </c>
      <c r="H21" s="317">
        <v>0</v>
      </c>
      <c r="I21" s="205">
        <f t="shared" si="1"/>
        <v>0</v>
      </c>
      <c r="J21" s="205">
        <f t="shared" si="2"/>
        <v>0</v>
      </c>
      <c r="L21" s="209"/>
      <c r="M21" s="268"/>
    </row>
    <row r="22" spans="1:18" ht="13.15" customHeight="1" x14ac:dyDescent="0.3">
      <c r="A22" s="255" t="s">
        <v>99</v>
      </c>
      <c r="B22" s="253"/>
      <c r="C22" s="316">
        <v>0</v>
      </c>
      <c r="D22" s="316">
        <v>0</v>
      </c>
      <c r="E22" s="316">
        <v>0</v>
      </c>
      <c r="F22" s="316">
        <v>0</v>
      </c>
      <c r="G22" s="316">
        <v>0</v>
      </c>
      <c r="H22" s="317">
        <v>0</v>
      </c>
      <c r="I22" s="205">
        <f t="shared" si="1"/>
        <v>0</v>
      </c>
      <c r="J22" s="205">
        <f t="shared" si="2"/>
        <v>0</v>
      </c>
      <c r="L22" s="209"/>
      <c r="M22" s="268"/>
    </row>
    <row r="23" spans="1:18" ht="13.15" customHeight="1" x14ac:dyDescent="0.3">
      <c r="A23" s="255" t="s">
        <v>275</v>
      </c>
      <c r="B23" s="253"/>
      <c r="C23" s="316">
        <v>0</v>
      </c>
      <c r="D23" s="316">
        <v>0</v>
      </c>
      <c r="E23" s="316">
        <v>0</v>
      </c>
      <c r="F23" s="316">
        <v>0</v>
      </c>
      <c r="G23" s="316">
        <v>0</v>
      </c>
      <c r="H23" s="317">
        <v>0</v>
      </c>
      <c r="I23" s="205">
        <f t="shared" si="1"/>
        <v>0</v>
      </c>
      <c r="J23" s="205">
        <f t="shared" si="2"/>
        <v>0</v>
      </c>
      <c r="L23" s="209"/>
      <c r="M23" s="268"/>
    </row>
    <row r="24" spans="1:18" ht="13.15" customHeight="1" x14ac:dyDescent="0.3">
      <c r="A24" s="50" t="s">
        <v>193</v>
      </c>
      <c r="B24" s="53"/>
      <c r="C24" s="357">
        <f>SUM(C25:C33)</f>
        <v>771468.80000000005</v>
      </c>
      <c r="D24" s="293">
        <f t="shared" ref="D24:H24" si="4">SUM(D25:D33)</f>
        <v>771468.80000000005</v>
      </c>
      <c r="E24" s="293">
        <f t="shared" si="4"/>
        <v>771468.80000000005</v>
      </c>
      <c r="F24" s="293">
        <f t="shared" si="4"/>
        <v>771468.80000000005</v>
      </c>
      <c r="G24" s="293">
        <f t="shared" si="4"/>
        <v>771468.80000000005</v>
      </c>
      <c r="H24" s="292">
        <f t="shared" si="4"/>
        <v>771468.80000000005</v>
      </c>
      <c r="I24" s="54">
        <f t="shared" si="1"/>
        <v>771468.79999999993</v>
      </c>
      <c r="J24" s="54">
        <f t="shared" si="2"/>
        <v>4628812.8</v>
      </c>
      <c r="L24" s="497" t="s">
        <v>318</v>
      </c>
      <c r="M24" s="268"/>
    </row>
    <row r="25" spans="1:18" ht="13.15" customHeight="1" x14ac:dyDescent="0.3">
      <c r="A25" s="33" t="s">
        <v>81</v>
      </c>
      <c r="B25" s="104"/>
      <c r="C25" s="374">
        <v>280032</v>
      </c>
      <c r="D25" s="374">
        <v>280032</v>
      </c>
      <c r="E25" s="374">
        <v>280032</v>
      </c>
      <c r="F25" s="374">
        <v>280032</v>
      </c>
      <c r="G25" s="374">
        <v>280032</v>
      </c>
      <c r="H25" s="375">
        <v>280032</v>
      </c>
      <c r="I25" s="204">
        <f t="shared" si="1"/>
        <v>280032</v>
      </c>
      <c r="J25" s="204">
        <f t="shared" si="2"/>
        <v>1680192</v>
      </c>
      <c r="L25" s="209"/>
      <c r="M25" s="268"/>
    </row>
    <row r="26" spans="1:18" ht="13.15" customHeight="1" x14ac:dyDescent="0.3">
      <c r="A26" s="634" t="s">
        <v>536</v>
      </c>
      <c r="B26" s="12"/>
      <c r="C26" s="635">
        <v>205000</v>
      </c>
      <c r="D26" s="635">
        <v>205000</v>
      </c>
      <c r="E26" s="635">
        <v>205000</v>
      </c>
      <c r="F26" s="635">
        <v>205000</v>
      </c>
      <c r="G26" s="635">
        <v>205000</v>
      </c>
      <c r="H26" s="636">
        <v>205000</v>
      </c>
      <c r="I26" s="205">
        <f t="shared" ref="I26:I27" si="5">IFERROR(AVERAGE(C26:H26),0)</f>
        <v>205000</v>
      </c>
      <c r="J26" s="205">
        <f t="shared" ref="J26:J27" si="6">SUM(C26:H26)</f>
        <v>1230000</v>
      </c>
      <c r="L26" s="209"/>
      <c r="M26" s="268"/>
    </row>
    <row r="27" spans="1:18" ht="13.15" customHeight="1" x14ac:dyDescent="0.3">
      <c r="A27" s="634" t="s">
        <v>537</v>
      </c>
      <c r="B27" s="12"/>
      <c r="C27" s="635">
        <v>45000</v>
      </c>
      <c r="D27" s="635">
        <v>45000</v>
      </c>
      <c r="E27" s="635">
        <v>45000</v>
      </c>
      <c r="F27" s="635">
        <v>45000</v>
      </c>
      <c r="G27" s="635">
        <v>45000</v>
      </c>
      <c r="H27" s="636">
        <v>45000</v>
      </c>
      <c r="I27" s="205">
        <f t="shared" si="5"/>
        <v>45000</v>
      </c>
      <c r="J27" s="205">
        <f t="shared" si="6"/>
        <v>270000</v>
      </c>
      <c r="L27" s="209"/>
      <c r="M27" s="268"/>
    </row>
    <row r="28" spans="1:18" ht="13.15" customHeight="1" x14ac:dyDescent="0.3">
      <c r="A28" s="634" t="s">
        <v>538</v>
      </c>
      <c r="B28" s="12"/>
      <c r="C28" s="635">
        <v>197728.8</v>
      </c>
      <c r="D28" s="635">
        <v>197728.8</v>
      </c>
      <c r="E28" s="635">
        <v>197728.8</v>
      </c>
      <c r="F28" s="635">
        <v>197728.8</v>
      </c>
      <c r="G28" s="635">
        <v>197728.8</v>
      </c>
      <c r="H28" s="636">
        <v>197728.8</v>
      </c>
      <c r="I28" s="205">
        <f t="shared" ref="I28" si="7">IFERROR(AVERAGE(C28:H28),0)</f>
        <v>197728.80000000002</v>
      </c>
      <c r="J28" s="205">
        <f t="shared" ref="J28" si="8">SUM(C28:H28)</f>
        <v>1186372.8</v>
      </c>
      <c r="L28" s="209"/>
      <c r="M28" s="268"/>
    </row>
    <row r="29" spans="1:18" ht="13.15" customHeight="1" x14ac:dyDescent="0.3">
      <c r="A29" s="25" t="s">
        <v>13</v>
      </c>
      <c r="B29" s="104"/>
      <c r="C29" s="374">
        <v>13000</v>
      </c>
      <c r="D29" s="374">
        <v>13000</v>
      </c>
      <c r="E29" s="374">
        <v>13000</v>
      </c>
      <c r="F29" s="374">
        <v>13000</v>
      </c>
      <c r="G29" s="374">
        <v>13000</v>
      </c>
      <c r="H29" s="375">
        <v>13000</v>
      </c>
      <c r="I29" s="205">
        <f t="shared" si="1"/>
        <v>13000</v>
      </c>
      <c r="J29" s="205">
        <f t="shared" si="2"/>
        <v>78000</v>
      </c>
      <c r="L29" s="209"/>
      <c r="M29" s="268"/>
    </row>
    <row r="30" spans="1:18" ht="13.15" customHeight="1" x14ac:dyDescent="0.3">
      <c r="A30" s="25" t="s">
        <v>14</v>
      </c>
      <c r="B30" s="104"/>
      <c r="C30" s="374">
        <v>9000</v>
      </c>
      <c r="D30" s="374">
        <v>9000</v>
      </c>
      <c r="E30" s="374">
        <v>9000</v>
      </c>
      <c r="F30" s="374">
        <v>9000</v>
      </c>
      <c r="G30" s="374">
        <v>9000</v>
      </c>
      <c r="H30" s="375">
        <v>9000</v>
      </c>
      <c r="I30" s="205">
        <f t="shared" si="1"/>
        <v>9000</v>
      </c>
      <c r="J30" s="205">
        <f t="shared" si="2"/>
        <v>54000</v>
      </c>
      <c r="L30" s="209"/>
      <c r="M30" s="268"/>
    </row>
    <row r="31" spans="1:18" ht="13.15" customHeight="1" x14ac:dyDescent="0.3">
      <c r="A31" s="25" t="s">
        <v>82</v>
      </c>
      <c r="B31" s="104"/>
      <c r="C31" s="374">
        <v>0</v>
      </c>
      <c r="D31" s="374">
        <v>0</v>
      </c>
      <c r="E31" s="374">
        <v>0</v>
      </c>
      <c r="F31" s="374">
        <v>0</v>
      </c>
      <c r="G31" s="374">
        <v>0</v>
      </c>
      <c r="H31" s="375">
        <v>0</v>
      </c>
      <c r="I31" s="205">
        <f t="shared" si="1"/>
        <v>0</v>
      </c>
      <c r="J31" s="205">
        <f t="shared" si="2"/>
        <v>0</v>
      </c>
      <c r="L31" s="209"/>
      <c r="M31" s="268"/>
    </row>
    <row r="32" spans="1:18" ht="13.15" customHeight="1" x14ac:dyDescent="0.3">
      <c r="A32" s="169" t="s">
        <v>15</v>
      </c>
      <c r="B32" s="104"/>
      <c r="C32" s="374">
        <v>0</v>
      </c>
      <c r="D32" s="374">
        <v>0</v>
      </c>
      <c r="E32" s="374">
        <v>0</v>
      </c>
      <c r="F32" s="374">
        <v>0</v>
      </c>
      <c r="G32" s="374">
        <v>0</v>
      </c>
      <c r="H32" s="375">
        <v>0</v>
      </c>
      <c r="I32" s="205">
        <f t="shared" si="1"/>
        <v>0</v>
      </c>
      <c r="J32" s="205">
        <f t="shared" si="2"/>
        <v>0</v>
      </c>
      <c r="L32" s="209"/>
      <c r="M32" s="268"/>
    </row>
    <row r="33" spans="1:14" ht="13.15" customHeight="1" x14ac:dyDescent="0.3">
      <c r="A33" s="585" t="s">
        <v>517</v>
      </c>
      <c r="B33" s="586"/>
      <c r="C33" s="587">
        <v>21708</v>
      </c>
      <c r="D33" s="587">
        <v>21708</v>
      </c>
      <c r="E33" s="587">
        <v>21708</v>
      </c>
      <c r="F33" s="587">
        <v>21708</v>
      </c>
      <c r="G33" s="587">
        <v>21708</v>
      </c>
      <c r="H33" s="588">
        <v>21708</v>
      </c>
      <c r="I33" s="588">
        <f t="shared" ref="I33" si="9">IFERROR(AVERAGE(C33:H33),0)</f>
        <v>21708</v>
      </c>
      <c r="J33" s="588">
        <f t="shared" ref="J33" si="10">SUM(C33:H33)</f>
        <v>130248</v>
      </c>
      <c r="L33" s="209"/>
      <c r="M33" s="268"/>
    </row>
    <row r="34" spans="1:14" ht="13.15" customHeight="1" x14ac:dyDescent="0.3">
      <c r="A34" s="50" t="s">
        <v>164</v>
      </c>
      <c r="B34" s="53" t="s">
        <v>371</v>
      </c>
      <c r="C34" s="357">
        <f t="shared" ref="C34:H34" si="11">SUM(C35:C39)</f>
        <v>9491504.8550319094</v>
      </c>
      <c r="D34" s="293">
        <f t="shared" si="11"/>
        <v>9543520.9835110344</v>
      </c>
      <c r="E34" s="293">
        <f t="shared" si="11"/>
        <v>9595777.02949032</v>
      </c>
      <c r="F34" s="293">
        <f t="shared" si="11"/>
        <v>9554582.2997433338</v>
      </c>
      <c r="G34" s="293">
        <f t="shared" si="11"/>
        <v>9627248.1502504628</v>
      </c>
      <c r="H34" s="292">
        <f t="shared" si="11"/>
        <v>9652307.2861275189</v>
      </c>
      <c r="I34" s="54">
        <f t="shared" si="1"/>
        <v>9577490.1006924305</v>
      </c>
      <c r="J34" s="54">
        <f t="shared" si="2"/>
        <v>57464940.604154587</v>
      </c>
      <c r="L34" s="497" t="s">
        <v>451</v>
      </c>
      <c r="M34" s="268"/>
    </row>
    <row r="35" spans="1:14" ht="13.15" customHeight="1" x14ac:dyDescent="0.3">
      <c r="A35" s="33" t="s">
        <v>165</v>
      </c>
      <c r="B35" s="104"/>
      <c r="C35" s="13">
        <f>'5a'!C56</f>
        <v>5380282.8334368309</v>
      </c>
      <c r="D35" s="13">
        <f>'5a'!D56</f>
        <v>5410410.036015274</v>
      </c>
      <c r="E35" s="13">
        <f>'5a'!E56</f>
        <v>5455613.1836328544</v>
      </c>
      <c r="F35" s="13">
        <f>'5a'!F56</f>
        <v>5417940.5912204338</v>
      </c>
      <c r="G35" s="13">
        <f>'5a'!G56</f>
        <v>5467071.8538106941</v>
      </c>
      <c r="H35" s="157">
        <f>'5a'!H56</f>
        <v>5454667.5034490563</v>
      </c>
      <c r="I35" s="204">
        <f t="shared" si="1"/>
        <v>5430997.6669275239</v>
      </c>
      <c r="J35" s="204">
        <f t="shared" si="2"/>
        <v>32585986.001565143</v>
      </c>
      <c r="L35" s="209"/>
      <c r="M35" s="268"/>
    </row>
    <row r="36" spans="1:14" ht="13.15" customHeight="1" x14ac:dyDescent="0.3">
      <c r="A36" s="25" t="s">
        <v>59</v>
      </c>
      <c r="B36" s="104"/>
      <c r="C36" s="13">
        <f>'5a'!C63</f>
        <v>1081437.5190607063</v>
      </c>
      <c r="D36" s="13">
        <f>'5a'!D63</f>
        <v>1100861.7405128879</v>
      </c>
      <c r="E36" s="13">
        <f>'5a'!E63</f>
        <v>1076700.4149694094</v>
      </c>
      <c r="F36" s="13">
        <f>'5a'!F63</f>
        <v>1081005.8827540972</v>
      </c>
      <c r="G36" s="13">
        <f>'5a'!G63</f>
        <v>1089749.2112282482</v>
      </c>
      <c r="H36" s="157">
        <f>'5a'!H63</f>
        <v>1100070.7826478891</v>
      </c>
      <c r="I36" s="205">
        <f t="shared" si="1"/>
        <v>1088304.2585288731</v>
      </c>
      <c r="J36" s="205">
        <f t="shared" si="2"/>
        <v>6529825.5511732381</v>
      </c>
      <c r="L36" s="209"/>
      <c r="M36" s="268"/>
    </row>
    <row r="37" spans="1:14" ht="13.15" customHeight="1" x14ac:dyDescent="0.3">
      <c r="A37" s="25" t="s">
        <v>60</v>
      </c>
      <c r="B37" s="104"/>
      <c r="C37" s="13">
        <f>'5a'!C67</f>
        <v>2236131.0900263125</v>
      </c>
      <c r="D37" s="13">
        <f>'5a'!D67</f>
        <v>2235400.6129934285</v>
      </c>
      <c r="E37" s="13">
        <f>'5a'!E67</f>
        <v>2262563.7862275527</v>
      </c>
      <c r="F37" s="13">
        <f>'5a'!F67</f>
        <v>2250842.3683495224</v>
      </c>
      <c r="G37" s="13">
        <f>'5a'!G67</f>
        <v>2261572.2754115993</v>
      </c>
      <c r="H37" s="157">
        <f>'5a'!H67</f>
        <v>2283508.5881170356</v>
      </c>
      <c r="I37" s="205">
        <f t="shared" si="1"/>
        <v>2255003.1201875755</v>
      </c>
      <c r="J37" s="205">
        <f t="shared" si="2"/>
        <v>13530018.721125452</v>
      </c>
      <c r="L37" s="209"/>
      <c r="M37" s="268"/>
    </row>
    <row r="38" spans="1:14" ht="13.15" customHeight="1" x14ac:dyDescent="0.3">
      <c r="A38" s="25" t="s">
        <v>191</v>
      </c>
      <c r="B38" s="104"/>
      <c r="C38" s="13">
        <f>'5a'!C75</f>
        <v>608443.41250806127</v>
      </c>
      <c r="D38" s="13">
        <f>'5a'!D75</f>
        <v>608110.44398944266</v>
      </c>
      <c r="E38" s="13">
        <f>'5a'!E75</f>
        <v>608580.42241050571</v>
      </c>
      <c r="F38" s="13">
        <f>'5a'!F75</f>
        <v>608839.44683553022</v>
      </c>
      <c r="G38" s="13">
        <f>'5a'!G75</f>
        <v>609211.48905741668</v>
      </c>
      <c r="H38" s="157">
        <f>'5a'!H75</f>
        <v>610672.44135989388</v>
      </c>
      <c r="I38" s="205">
        <f t="shared" si="1"/>
        <v>608976.27602680831</v>
      </c>
      <c r="J38" s="205">
        <f t="shared" si="2"/>
        <v>3653857.6561608501</v>
      </c>
      <c r="L38" s="209"/>
      <c r="M38" s="268"/>
    </row>
    <row r="39" spans="1:14" ht="13.15" customHeight="1" x14ac:dyDescent="0.3">
      <c r="A39" s="25" t="s">
        <v>129</v>
      </c>
      <c r="B39" s="12"/>
      <c r="C39" s="13">
        <f>'5a'!C79</f>
        <v>185210</v>
      </c>
      <c r="D39" s="13">
        <f>'5a'!D79</f>
        <v>188738.14999999997</v>
      </c>
      <c r="E39" s="13">
        <f>'5a'!E79</f>
        <v>192319.22224999993</v>
      </c>
      <c r="F39" s="13">
        <f>'5a'!F79</f>
        <v>195954.01058374991</v>
      </c>
      <c r="G39" s="13">
        <f>'5a'!G79</f>
        <v>199643.32074250613</v>
      </c>
      <c r="H39" s="157">
        <f>'5a'!H79</f>
        <v>203387.97055364368</v>
      </c>
      <c r="I39" s="205">
        <f t="shared" ref="I39:I92" si="12">IFERROR(AVERAGE(C39:H39),0)</f>
        <v>194208.77902164994</v>
      </c>
      <c r="J39" s="205">
        <f t="shared" ref="J39:J92" si="13">SUM(C39:H39)</f>
        <v>1165252.6741298996</v>
      </c>
      <c r="L39" s="209"/>
      <c r="M39" s="268"/>
    </row>
    <row r="40" spans="1:14" ht="13.15" customHeight="1" x14ac:dyDescent="0.3">
      <c r="A40" s="50" t="s">
        <v>41</v>
      </c>
      <c r="B40" s="53"/>
      <c r="C40" s="357">
        <f>SUM(C41:C42)</f>
        <v>1796153.5506625704</v>
      </c>
      <c r="D40" s="293">
        <f t="shared" ref="D40:H40" si="14">SUM(D41:D42)</f>
        <v>1808197.0645635275</v>
      </c>
      <c r="E40" s="293">
        <f t="shared" si="14"/>
        <v>1820223.1453124876</v>
      </c>
      <c r="F40" s="293">
        <f t="shared" si="14"/>
        <v>1830397.4340331517</v>
      </c>
      <c r="G40" s="293">
        <f t="shared" si="14"/>
        <v>1841808.6720409989</v>
      </c>
      <c r="H40" s="292">
        <f t="shared" si="14"/>
        <v>1861976.3155379363</v>
      </c>
      <c r="I40" s="54">
        <f t="shared" si="12"/>
        <v>1826459.3636917789</v>
      </c>
      <c r="J40" s="54">
        <f t="shared" si="13"/>
        <v>10958756.182150673</v>
      </c>
      <c r="L40" s="497" t="s">
        <v>451</v>
      </c>
      <c r="M40" s="268"/>
    </row>
    <row r="41" spans="1:14" ht="13.15" customHeight="1" x14ac:dyDescent="0.3">
      <c r="A41" s="33" t="s">
        <v>42</v>
      </c>
      <c r="B41" s="12"/>
      <c r="C41" s="374">
        <v>1647187.8776594999</v>
      </c>
      <c r="D41" s="374">
        <v>1658833.8403303807</v>
      </c>
      <c r="E41" s="374">
        <v>1670583.2393836789</v>
      </c>
      <c r="F41" s="374">
        <v>1680009.8194442941</v>
      </c>
      <c r="G41" s="374">
        <v>1691488.2182274992</v>
      </c>
      <c r="H41" s="375">
        <v>1709906.2961408696</v>
      </c>
      <c r="I41" s="204">
        <f t="shared" si="12"/>
        <v>1676334.8818643705</v>
      </c>
      <c r="J41" s="204">
        <f t="shared" si="13"/>
        <v>10058009.291186223</v>
      </c>
      <c r="L41" s="209"/>
      <c r="M41" s="268"/>
    </row>
    <row r="42" spans="1:14" ht="13.15" customHeight="1" x14ac:dyDescent="0.3">
      <c r="A42" s="25" t="s">
        <v>195</v>
      </c>
      <c r="B42" s="12"/>
      <c r="C42" s="374">
        <v>148965.67300307046</v>
      </c>
      <c r="D42" s="374">
        <v>149363.22423314676</v>
      </c>
      <c r="E42" s="374">
        <v>149639.9059288087</v>
      </c>
      <c r="F42" s="374">
        <v>150387.61458885757</v>
      </c>
      <c r="G42" s="374">
        <v>150320.45381349977</v>
      </c>
      <c r="H42" s="375">
        <v>152070.01939706664</v>
      </c>
      <c r="I42" s="205">
        <f t="shared" si="12"/>
        <v>150124.48182740831</v>
      </c>
      <c r="J42" s="205">
        <f t="shared" si="13"/>
        <v>900746.89096444985</v>
      </c>
      <c r="L42" s="209"/>
      <c r="M42" s="268"/>
    </row>
    <row r="43" spans="1:14" ht="13.15" customHeight="1" x14ac:dyDescent="0.3">
      <c r="A43" s="50" t="s">
        <v>43</v>
      </c>
      <c r="B43" s="53"/>
      <c r="C43" s="357">
        <f>SUM(C44:C48)</f>
        <v>659084.35692597879</v>
      </c>
      <c r="D43" s="293">
        <f t="shared" ref="D43:H43" si="15">SUM(D44:D48)</f>
        <v>662776.44389805535</v>
      </c>
      <c r="E43" s="293">
        <f t="shared" si="15"/>
        <v>666494.58648208377</v>
      </c>
      <c r="F43" s="293">
        <f t="shared" si="15"/>
        <v>669480.05379209516</v>
      </c>
      <c r="G43" s="293">
        <f t="shared" si="15"/>
        <v>673064.33147777279</v>
      </c>
      <c r="H43" s="292">
        <f t="shared" si="15"/>
        <v>678885.94022805593</v>
      </c>
      <c r="I43" s="54">
        <f t="shared" si="12"/>
        <v>668297.61880067363</v>
      </c>
      <c r="J43" s="54">
        <f t="shared" si="13"/>
        <v>4009785.7128040418</v>
      </c>
      <c r="L43" s="497" t="s">
        <v>318</v>
      </c>
      <c r="M43" s="268"/>
    </row>
    <row r="44" spans="1:14" ht="13.15" customHeight="1" x14ac:dyDescent="0.3">
      <c r="A44" s="33" t="s">
        <v>322</v>
      </c>
      <c r="B44" s="12"/>
      <c r="C44" s="316">
        <v>4926</v>
      </c>
      <c r="D44" s="316">
        <v>4926</v>
      </c>
      <c r="E44" s="316">
        <v>4926</v>
      </c>
      <c r="F44" s="316">
        <v>4926</v>
      </c>
      <c r="G44" s="316">
        <v>4926</v>
      </c>
      <c r="H44" s="317">
        <v>4926</v>
      </c>
      <c r="I44" s="204">
        <f t="shared" si="12"/>
        <v>4926</v>
      </c>
      <c r="J44" s="204">
        <f t="shared" si="13"/>
        <v>29556</v>
      </c>
      <c r="L44" s="209"/>
      <c r="M44" s="268"/>
    </row>
    <row r="45" spans="1:14" ht="13.15" customHeight="1" x14ac:dyDescent="0.3">
      <c r="A45" s="25" t="s">
        <v>323</v>
      </c>
      <c r="B45" s="12"/>
      <c r="C45" s="316">
        <v>0</v>
      </c>
      <c r="D45" s="316">
        <v>0</v>
      </c>
      <c r="E45" s="316">
        <v>0</v>
      </c>
      <c r="F45" s="316">
        <v>0</v>
      </c>
      <c r="G45" s="316">
        <v>0</v>
      </c>
      <c r="H45" s="317">
        <v>0</v>
      </c>
      <c r="I45" s="205">
        <f t="shared" si="12"/>
        <v>0</v>
      </c>
      <c r="J45" s="205">
        <f t="shared" si="13"/>
        <v>0</v>
      </c>
      <c r="L45" s="209"/>
      <c r="M45" s="268"/>
      <c r="N45" s="556"/>
    </row>
    <row r="46" spans="1:14" ht="13.15" customHeight="1" x14ac:dyDescent="0.3">
      <c r="A46" s="33" t="s">
        <v>89</v>
      </c>
      <c r="B46" s="12"/>
      <c r="C46" s="316">
        <v>50000</v>
      </c>
      <c r="D46" s="316">
        <v>50000</v>
      </c>
      <c r="E46" s="316">
        <v>50000</v>
      </c>
      <c r="F46" s="316">
        <v>50000</v>
      </c>
      <c r="G46" s="316">
        <v>50000</v>
      </c>
      <c r="H46" s="317">
        <v>50000</v>
      </c>
      <c r="I46" s="205">
        <f t="shared" si="12"/>
        <v>50000</v>
      </c>
      <c r="J46" s="205">
        <f t="shared" si="13"/>
        <v>300000</v>
      </c>
      <c r="L46" s="209"/>
      <c r="M46" s="268"/>
    </row>
    <row r="47" spans="1:14" ht="13.15" customHeight="1" x14ac:dyDescent="0.3">
      <c r="A47" s="33" t="s">
        <v>44</v>
      </c>
      <c r="B47" s="12"/>
      <c r="C47" s="316">
        <v>0</v>
      </c>
      <c r="D47" s="316">
        <v>0</v>
      </c>
      <c r="E47" s="316">
        <v>0</v>
      </c>
      <c r="F47" s="316">
        <v>0</v>
      </c>
      <c r="G47" s="316">
        <v>0</v>
      </c>
      <c r="H47" s="317">
        <v>0</v>
      </c>
      <c r="I47" s="205">
        <f t="shared" si="12"/>
        <v>0</v>
      </c>
      <c r="J47" s="205">
        <f t="shared" si="13"/>
        <v>0</v>
      </c>
      <c r="L47" s="209"/>
      <c r="M47" s="268"/>
    </row>
    <row r="48" spans="1:14" ht="13.15" customHeight="1" x14ac:dyDescent="0.3">
      <c r="A48" s="33" t="s">
        <v>90</v>
      </c>
      <c r="B48" s="12"/>
      <c r="C48" s="316">
        <v>604158.35692597879</v>
      </c>
      <c r="D48" s="316">
        <v>607850.44389805535</v>
      </c>
      <c r="E48" s="316">
        <v>611568.58648208377</v>
      </c>
      <c r="F48" s="316">
        <v>614554.05379209516</v>
      </c>
      <c r="G48" s="316">
        <v>618138.33147777279</v>
      </c>
      <c r="H48" s="317">
        <v>623959.94022805593</v>
      </c>
      <c r="I48" s="205">
        <f t="shared" si="12"/>
        <v>613371.61880067363</v>
      </c>
      <c r="J48" s="205">
        <f t="shared" si="13"/>
        <v>3680229.7128040418</v>
      </c>
      <c r="L48" s="209"/>
      <c r="M48" s="268"/>
    </row>
    <row r="49" spans="1:17" ht="13.15" customHeight="1" x14ac:dyDescent="0.3">
      <c r="A49" s="50" t="s">
        <v>178</v>
      </c>
      <c r="B49" s="53" t="s">
        <v>370</v>
      </c>
      <c r="C49" s="357">
        <f>SUM(C50:C74)</f>
        <v>184883.04444444444</v>
      </c>
      <c r="D49" s="293">
        <f t="shared" ref="D49:H49" si="16">SUM(D50:D74)</f>
        <v>248353.44444444444</v>
      </c>
      <c r="E49" s="293">
        <f t="shared" si="16"/>
        <v>294613.44444444444</v>
      </c>
      <c r="F49" s="293">
        <f t="shared" si="16"/>
        <v>332913.44444444444</v>
      </c>
      <c r="G49" s="293">
        <f t="shared" si="16"/>
        <v>353913.44444444444</v>
      </c>
      <c r="H49" s="292">
        <f t="shared" si="16"/>
        <v>205013.84444444446</v>
      </c>
      <c r="I49" s="54">
        <f t="shared" si="12"/>
        <v>269948.44444444444</v>
      </c>
      <c r="J49" s="54">
        <f t="shared" si="13"/>
        <v>1619690.6666666667</v>
      </c>
      <c r="L49" s="497" t="s">
        <v>317</v>
      </c>
      <c r="M49" s="268"/>
    </row>
    <row r="50" spans="1:17" ht="13.15" customHeight="1" x14ac:dyDescent="0.3">
      <c r="A50" s="256" t="str">
        <f>IF('5b'!A5="","-",'5b'!A5)</f>
        <v>Camion nacelle</v>
      </c>
      <c r="B50" s="253"/>
      <c r="C50" s="13">
        <f>'5b'!C35</f>
        <v>7000</v>
      </c>
      <c r="D50" s="13">
        <f>'5b'!D35</f>
        <v>7000</v>
      </c>
      <c r="E50" s="13">
        <f>'5b'!E35</f>
        <v>7000</v>
      </c>
      <c r="F50" s="13">
        <f>'5b'!F35</f>
        <v>7000</v>
      </c>
      <c r="G50" s="13">
        <f>'5b'!G35</f>
        <v>7000</v>
      </c>
      <c r="H50" s="157">
        <f>'5b'!H35</f>
        <v>0</v>
      </c>
      <c r="I50" s="204">
        <f t="shared" si="12"/>
        <v>5833.333333333333</v>
      </c>
      <c r="J50" s="204">
        <f t="shared" si="13"/>
        <v>35000</v>
      </c>
      <c r="L50" s="209"/>
      <c r="M50" s="268"/>
    </row>
    <row r="51" spans="1:17" ht="13.15" customHeight="1" x14ac:dyDescent="0.3">
      <c r="A51" s="256" t="str">
        <f>IF('5b'!A6="","-",'5b'!A6)</f>
        <v>Nacelle (dépôt de Houdain)</v>
      </c>
      <c r="B51" s="253"/>
      <c r="C51" s="13">
        <f>'5b'!C36</f>
        <v>14250.111111111111</v>
      </c>
      <c r="D51" s="13">
        <f>'5b'!D36</f>
        <v>14250.111111111111</v>
      </c>
      <c r="E51" s="13">
        <f>'5b'!E36</f>
        <v>14250.111111111111</v>
      </c>
      <c r="F51" s="13">
        <f>'5b'!F36</f>
        <v>14250.111111111111</v>
      </c>
      <c r="G51" s="13">
        <f>'5b'!G36</f>
        <v>14250.111111111111</v>
      </c>
      <c r="H51" s="157">
        <f>'5b'!H36</f>
        <v>14250.111111111111</v>
      </c>
      <c r="I51" s="205">
        <f t="shared" si="12"/>
        <v>14250.111111111111</v>
      </c>
      <c r="J51" s="205">
        <f t="shared" si="13"/>
        <v>85500.666666666672</v>
      </c>
      <c r="L51" s="209"/>
      <c r="M51" s="268"/>
    </row>
    <row r="52" spans="1:17" ht="13.15" customHeight="1" x14ac:dyDescent="0.3">
      <c r="A52" s="256" t="str">
        <f>IF('5b'!A7="","-",'5b'!A7)</f>
        <v>Jeux de 6 colonnes (dépôt de Hénin)</v>
      </c>
      <c r="B52" s="253"/>
      <c r="C52" s="13">
        <f>'5b'!C37</f>
        <v>5333.333333333333</v>
      </c>
      <c r="D52" s="13">
        <f>'5b'!D37</f>
        <v>5333.333333333333</v>
      </c>
      <c r="E52" s="13">
        <f>'5b'!E37</f>
        <v>5333.333333333333</v>
      </c>
      <c r="F52" s="13">
        <f>'5b'!F37</f>
        <v>5333.333333333333</v>
      </c>
      <c r="G52" s="13">
        <f>'5b'!G37</f>
        <v>5333.333333333333</v>
      </c>
      <c r="H52" s="157">
        <f>'5b'!H37</f>
        <v>5333.333333333333</v>
      </c>
      <c r="I52" s="205">
        <f t="shared" si="12"/>
        <v>5333.333333333333</v>
      </c>
      <c r="J52" s="205">
        <f t="shared" si="13"/>
        <v>31999.999999999996</v>
      </c>
      <c r="L52" s="209"/>
      <c r="M52" s="268"/>
    </row>
    <row r="53" spans="1:17" ht="13.15" customHeight="1" x14ac:dyDescent="0.3">
      <c r="A53" s="256" t="str">
        <f>IF('5b'!A8="","-",'5b'!A8)</f>
        <v>Renouvellement des équipements et amélioration 1
 (Enveloppe annuelle pour renouvellement des équipements atelier)</v>
      </c>
      <c r="B53" s="253"/>
      <c r="C53" s="13">
        <f>'5b'!C38</f>
        <v>5000</v>
      </c>
      <c r="D53" s="13">
        <f>'5b'!D38</f>
        <v>5000</v>
      </c>
      <c r="E53" s="13">
        <f>'5b'!E38</f>
        <v>5000</v>
      </c>
      <c r="F53" s="13">
        <f>'5b'!F38</f>
        <v>5000</v>
      </c>
      <c r="G53" s="13">
        <f>'5b'!G38</f>
        <v>5000</v>
      </c>
      <c r="H53" s="157">
        <f>'5b'!H38</f>
        <v>5000</v>
      </c>
      <c r="I53" s="205">
        <f t="shared" si="12"/>
        <v>5000</v>
      </c>
      <c r="J53" s="205">
        <f t="shared" si="13"/>
        <v>30000</v>
      </c>
      <c r="L53" s="209"/>
      <c r="M53" s="268"/>
    </row>
    <row r="54" spans="1:17" ht="13.15" customHeight="1" x14ac:dyDescent="0.3">
      <c r="A54" s="256" t="str">
        <f>IF('5b'!A9="","-",'5b'!A9)</f>
        <v>Renouvellement des équipements et amélioration 2
 (Enveloppe annuelle pour renouvellement des équipements atelier)</v>
      </c>
      <c r="B54" s="253"/>
      <c r="C54" s="13">
        <f>'5b'!C39</f>
        <v>0</v>
      </c>
      <c r="D54" s="13">
        <f>'5b'!D39</f>
        <v>5000</v>
      </c>
      <c r="E54" s="13">
        <f>'5b'!E39</f>
        <v>5000</v>
      </c>
      <c r="F54" s="13">
        <f>'5b'!F39</f>
        <v>5000</v>
      </c>
      <c r="G54" s="13">
        <f>'5b'!G39</f>
        <v>5000</v>
      </c>
      <c r="H54" s="157">
        <f>'5b'!H39</f>
        <v>5000</v>
      </c>
      <c r="I54" s="205">
        <f t="shared" si="12"/>
        <v>4166.666666666667</v>
      </c>
      <c r="J54" s="205">
        <f t="shared" si="13"/>
        <v>25000</v>
      </c>
      <c r="L54" s="209"/>
      <c r="M54" s="268"/>
    </row>
    <row r="55" spans="1:17" s="171" customFormat="1" ht="13.15" customHeight="1" x14ac:dyDescent="0.3">
      <c r="A55" s="371" t="str">
        <f>IF('5b'!A10="","-",'5b'!A10)</f>
        <v>Renouvellement des équipements et amélioration 3
 (Enveloppe annuelle pour renouvellement des équipements atelier)</v>
      </c>
      <c r="B55" s="372"/>
      <c r="C55" s="376">
        <f>'5b'!C40</f>
        <v>0</v>
      </c>
      <c r="D55" s="376">
        <f>'5b'!D40</f>
        <v>0</v>
      </c>
      <c r="E55" s="376">
        <f>'5b'!E40</f>
        <v>5000</v>
      </c>
      <c r="F55" s="376">
        <f>'5b'!F40</f>
        <v>5000</v>
      </c>
      <c r="G55" s="376">
        <f>'5b'!G40</f>
        <v>5000</v>
      </c>
      <c r="H55" s="377">
        <f>'5b'!H40</f>
        <v>5000</v>
      </c>
      <c r="I55" s="369">
        <f t="shared" si="12"/>
        <v>3333.3333333333335</v>
      </c>
      <c r="J55" s="369">
        <f t="shared" si="13"/>
        <v>20000</v>
      </c>
      <c r="L55" s="370"/>
      <c r="M55" s="269"/>
      <c r="N55" s="269"/>
      <c r="O55" s="269"/>
      <c r="P55" s="269"/>
      <c r="Q55" s="269"/>
    </row>
    <row r="56" spans="1:17" s="171" customFormat="1" ht="13.15" customHeight="1" x14ac:dyDescent="0.3">
      <c r="A56" s="371" t="str">
        <f>IF('5b'!A11="","-",'5b'!A11)</f>
        <v>Renouvellement des équipements et amélioration 4
 (Enveloppe annuelle pour renouvellement des équipements atelier)</v>
      </c>
      <c r="B56" s="372"/>
      <c r="C56" s="376">
        <f>'5b'!C41</f>
        <v>0</v>
      </c>
      <c r="D56" s="376">
        <f>'5b'!D41</f>
        <v>0</v>
      </c>
      <c r="E56" s="376">
        <f>'5b'!E41</f>
        <v>0</v>
      </c>
      <c r="F56" s="376">
        <f>'5b'!F41</f>
        <v>5000</v>
      </c>
      <c r="G56" s="376">
        <f>'5b'!G41</f>
        <v>5000</v>
      </c>
      <c r="H56" s="377">
        <f>'5b'!H41</f>
        <v>5000</v>
      </c>
      <c r="I56" s="369">
        <f t="shared" si="12"/>
        <v>2500</v>
      </c>
      <c r="J56" s="369">
        <f t="shared" si="13"/>
        <v>15000</v>
      </c>
      <c r="L56" s="370"/>
      <c r="M56" s="269"/>
      <c r="N56" s="269"/>
      <c r="O56" s="269"/>
      <c r="P56" s="269"/>
      <c r="Q56" s="269"/>
    </row>
    <row r="57" spans="1:17" s="171" customFormat="1" ht="13.15" customHeight="1" x14ac:dyDescent="0.3">
      <c r="A57" s="371" t="str">
        <f>IF('5b'!A12="","-",'5b'!A12)</f>
        <v>Renouvellement des équipements et amélioration 5
 (Enveloppe annuelle pour renouvellement des équipements atelier)</v>
      </c>
      <c r="B57" s="372"/>
      <c r="C57" s="376">
        <f>'5b'!C42</f>
        <v>0</v>
      </c>
      <c r="D57" s="376">
        <f>'5b'!D42</f>
        <v>0</v>
      </c>
      <c r="E57" s="376">
        <f>'5b'!E42</f>
        <v>0</v>
      </c>
      <c r="F57" s="376">
        <f>'5b'!F42</f>
        <v>0</v>
      </c>
      <c r="G57" s="376">
        <f>'5b'!G42</f>
        <v>5000</v>
      </c>
      <c r="H57" s="377">
        <f>'5b'!H42</f>
        <v>5000</v>
      </c>
      <c r="I57" s="369">
        <f t="shared" ref="I57:I58" si="17">IFERROR(AVERAGE(C57:H57),0)</f>
        <v>1666.6666666666667</v>
      </c>
      <c r="J57" s="369">
        <f t="shared" ref="J57:J58" si="18">SUM(C57:H57)</f>
        <v>10000</v>
      </c>
      <c r="L57" s="370"/>
      <c r="M57" s="269"/>
      <c r="N57" s="269"/>
      <c r="O57" s="269"/>
      <c r="P57" s="269"/>
      <c r="Q57" s="269"/>
    </row>
    <row r="58" spans="1:17" s="171" customFormat="1" ht="13.15" customHeight="1" x14ac:dyDescent="0.3">
      <c r="A58" s="371" t="str">
        <f>IF('5b'!A13="","-",'5b'!A13)</f>
        <v>Renouvellement des équipements et amélioration 6
 (Enveloppe annuelle pour renouvellement des équipements atelier)</v>
      </c>
      <c r="B58" s="372"/>
      <c r="C58" s="376">
        <f>'5b'!C43</f>
        <v>0</v>
      </c>
      <c r="D58" s="376">
        <f>'5b'!D43</f>
        <v>0</v>
      </c>
      <c r="E58" s="376">
        <f>'5b'!E43</f>
        <v>0</v>
      </c>
      <c r="F58" s="376">
        <f>'5b'!F43</f>
        <v>0</v>
      </c>
      <c r="G58" s="376">
        <f>'5b'!G43</f>
        <v>0</v>
      </c>
      <c r="H58" s="377">
        <f>'5b'!H43</f>
        <v>5000</v>
      </c>
      <c r="I58" s="369">
        <f t="shared" si="17"/>
        <v>833.33333333333337</v>
      </c>
      <c r="J58" s="369">
        <f t="shared" si="18"/>
        <v>5000</v>
      </c>
      <c r="L58" s="370"/>
      <c r="M58" s="269"/>
      <c r="N58" s="269"/>
      <c r="O58" s="269"/>
      <c r="P58" s="269"/>
      <c r="Q58" s="269"/>
    </row>
    <row r="59" spans="1:17" ht="13.15" customHeight="1" x14ac:dyDescent="0.3">
      <c r="A59" s="256" t="str">
        <f>IF('5b'!A14="","-",'5b'!A14)</f>
        <v>Infrastructures 2024 (Socle de virtualisation, aménagement salles serveur, 
infrastructure cœur réseau, Wifi à bord, renouvellement wifi en station, 
postes de travail bureautique et industriel, centre d'appel)</v>
      </c>
      <c r="B59" s="253"/>
      <c r="C59" s="13">
        <f>'5b'!C44</f>
        <v>52383.6</v>
      </c>
      <c r="D59" s="13">
        <f>'5b'!D44</f>
        <v>52383.6</v>
      </c>
      <c r="E59" s="13">
        <f>'5b'!E44</f>
        <v>52383.6</v>
      </c>
      <c r="F59" s="13">
        <f>'5b'!F44</f>
        <v>52383.6</v>
      </c>
      <c r="G59" s="13">
        <f>'5b'!G44</f>
        <v>52383.6</v>
      </c>
      <c r="H59" s="157">
        <f>'5b'!H44</f>
        <v>0</v>
      </c>
      <c r="I59" s="205">
        <f t="shared" si="12"/>
        <v>43653</v>
      </c>
      <c r="J59" s="205">
        <f t="shared" si="13"/>
        <v>261918</v>
      </c>
      <c r="L59" s="209"/>
      <c r="M59" s="268"/>
    </row>
    <row r="60" spans="1:17" ht="13.15" customHeight="1" x14ac:dyDescent="0.3">
      <c r="A60" s="256" t="str">
        <f>IF('5b'!A15="","-",'5b'!A15)</f>
        <v>Infrastructures 2025 (Socle de virtualisation, aménagement salles serveur
, routeurs wifi véhicules et stations,  postes de travail bureautique et industriel,renouvellement borne conducteur connecté)</v>
      </c>
      <c r="B60" s="253"/>
      <c r="C60" s="13">
        <f>'5b'!C45</f>
        <v>0</v>
      </c>
      <c r="D60" s="13">
        <f>'5b'!D45</f>
        <v>41270.400000000001</v>
      </c>
      <c r="E60" s="13">
        <f>'5b'!E45</f>
        <v>41270.400000000001</v>
      </c>
      <c r="F60" s="13">
        <f>'5b'!F45</f>
        <v>41270.400000000001</v>
      </c>
      <c r="G60" s="13">
        <f>'5b'!G45</f>
        <v>41270.400000000001</v>
      </c>
      <c r="H60" s="157">
        <f>'5b'!H45</f>
        <v>41270.400000000001</v>
      </c>
      <c r="I60" s="205">
        <f t="shared" ref="I60:I74" si="19">IFERROR(AVERAGE(C60:H60),0)</f>
        <v>34392</v>
      </c>
      <c r="J60" s="205">
        <f t="shared" ref="J60:J74" si="20">SUM(C60:H60)</f>
        <v>206352</v>
      </c>
      <c r="L60" s="209"/>
      <c r="M60" s="268"/>
    </row>
    <row r="61" spans="1:17" ht="13.15" customHeight="1" x14ac:dyDescent="0.3">
      <c r="A61" s="256" t="str">
        <f>IF('5b'!A16="","-",'5b'!A16)</f>
        <v>Infrastructures 2026 
(Socle de virtualisation, renouvellement des switchs d'accès, renouvellement des PDU, postes de travail bureautiques et industriels, centre d'appel, DAC)</v>
      </c>
      <c r="B61" s="253"/>
      <c r="C61" s="13">
        <f>'5b'!C46</f>
        <v>0</v>
      </c>
      <c r="D61" s="13">
        <f>'5b'!D46</f>
        <v>0</v>
      </c>
      <c r="E61" s="13">
        <f>'5b'!E46</f>
        <v>30360</v>
      </c>
      <c r="F61" s="13">
        <f>'5b'!F46</f>
        <v>30360</v>
      </c>
      <c r="G61" s="13">
        <f>'5b'!G46</f>
        <v>30360</v>
      </c>
      <c r="H61" s="157">
        <f>'5b'!H46</f>
        <v>30360</v>
      </c>
      <c r="I61" s="205">
        <f t="shared" si="19"/>
        <v>20240</v>
      </c>
      <c r="J61" s="205">
        <f t="shared" si="20"/>
        <v>121440</v>
      </c>
      <c r="L61" s="209"/>
      <c r="M61" s="268"/>
    </row>
    <row r="62" spans="1:17" ht="13.15" customHeight="1" x14ac:dyDescent="0.3">
      <c r="A62" s="256" t="str">
        <f>IF('5b'!A17="","-",'5b'!A17)</f>
        <v>Infrastructures 2027 (renouvellement infrastructure cœur de réseau, aménagement salles serveurs, postes de travail bureautique &amp; industriels, DAC)</v>
      </c>
      <c r="B62" s="253"/>
      <c r="C62" s="13">
        <f>'5b'!C47</f>
        <v>0</v>
      </c>
      <c r="D62" s="13">
        <f>'5b'!D47</f>
        <v>0</v>
      </c>
      <c r="E62" s="13">
        <f>'5b'!E47</f>
        <v>0</v>
      </c>
      <c r="F62" s="13">
        <f>'5b'!F47</f>
        <v>30000</v>
      </c>
      <c r="G62" s="13">
        <f>'5b'!G47</f>
        <v>30000</v>
      </c>
      <c r="H62" s="157">
        <f>'5b'!H47</f>
        <v>30000</v>
      </c>
      <c r="I62" s="205">
        <f t="shared" si="19"/>
        <v>15000</v>
      </c>
      <c r="J62" s="205">
        <f t="shared" si="20"/>
        <v>90000</v>
      </c>
      <c r="L62" s="209"/>
      <c r="M62" s="268"/>
    </row>
    <row r="63" spans="1:17" ht="13.15" customHeight="1" x14ac:dyDescent="0.3">
      <c r="A63" s="256" t="str">
        <f>IF('5b'!A18="","-",'5b'!A18)</f>
        <v>Infrastructures 2028 (Renouvellement postes de travail bureautiqueset industriels)</v>
      </c>
      <c r="B63" s="253"/>
      <c r="C63" s="13">
        <f>'5b'!C48</f>
        <v>0</v>
      </c>
      <c r="D63" s="13">
        <f>'5b'!D48</f>
        <v>0</v>
      </c>
      <c r="E63" s="13">
        <f>'5b'!E48</f>
        <v>0</v>
      </c>
      <c r="F63" s="13">
        <f>'5b'!F48</f>
        <v>0</v>
      </c>
      <c r="G63" s="13">
        <f>'5b'!G48</f>
        <v>8400</v>
      </c>
      <c r="H63" s="157">
        <f>'5b'!H48</f>
        <v>8400</v>
      </c>
      <c r="I63" s="205">
        <f t="shared" si="19"/>
        <v>2800</v>
      </c>
      <c r="J63" s="205">
        <f t="shared" si="20"/>
        <v>16800</v>
      </c>
      <c r="L63" s="209"/>
      <c r="M63" s="268"/>
    </row>
    <row r="64" spans="1:17" ht="13.15" customHeight="1" x14ac:dyDescent="0.3">
      <c r="A64" s="256" t="str">
        <f>IF('5b'!A19="","-",'5b'!A19)</f>
        <v>Infrastructures 2029  (Renouvellement postes de travail bureautiqueset industriels)</v>
      </c>
      <c r="B64" s="253"/>
      <c r="C64" s="13">
        <f>'5b'!C49</f>
        <v>0</v>
      </c>
      <c r="D64" s="13">
        <f>'5b'!D49</f>
        <v>0</v>
      </c>
      <c r="E64" s="13">
        <f>'5b'!E49</f>
        <v>0</v>
      </c>
      <c r="F64" s="13">
        <f>'5b'!F49</f>
        <v>0</v>
      </c>
      <c r="G64" s="13">
        <f>'5b'!G49</f>
        <v>0</v>
      </c>
      <c r="H64" s="157">
        <f>'5b'!H49</f>
        <v>6400</v>
      </c>
      <c r="I64" s="205">
        <f t="shared" si="19"/>
        <v>1066.6666666666667</v>
      </c>
      <c r="J64" s="205">
        <f t="shared" si="20"/>
        <v>6400</v>
      </c>
      <c r="L64" s="209"/>
      <c r="M64" s="268"/>
    </row>
    <row r="65" spans="1:13" ht="13.15" customHeight="1" x14ac:dyDescent="0.3">
      <c r="A65" s="256" t="str">
        <f>IF('5b'!A20="","-",'5b'!A20)</f>
        <v>Camion de dépannage 2024 - renouvellmement des camions de dépannage atelier</v>
      </c>
      <c r="B65" s="253"/>
      <c r="C65" s="13">
        <f>'5b'!C50</f>
        <v>15200</v>
      </c>
      <c r="D65" s="13">
        <f>'5b'!D50</f>
        <v>15200</v>
      </c>
      <c r="E65" s="13">
        <f>'5b'!E50</f>
        <v>15200</v>
      </c>
      <c r="F65" s="13">
        <f>'5b'!F50</f>
        <v>15200</v>
      </c>
      <c r="G65" s="13">
        <f>'5b'!G50</f>
        <v>15200</v>
      </c>
      <c r="H65" s="157">
        <f>'5b'!H50</f>
        <v>0</v>
      </c>
      <c r="I65" s="205">
        <f t="shared" si="19"/>
        <v>12666.666666666666</v>
      </c>
      <c r="J65" s="205">
        <f t="shared" si="20"/>
        <v>76000</v>
      </c>
      <c r="L65" s="209"/>
      <c r="M65" s="268"/>
    </row>
    <row r="66" spans="1:13" ht="13.15" customHeight="1" x14ac:dyDescent="0.3">
      <c r="A66" s="256" t="str">
        <f>IF('5b'!A21="","-",'5b'!A21)</f>
        <v>Camion de dépannage 2026  - renouvellmement des camions de dépannage atelier</v>
      </c>
      <c r="B66" s="253"/>
      <c r="C66" s="13">
        <f>'5b'!C51</f>
        <v>0</v>
      </c>
      <c r="D66" s="13">
        <f>'5b'!D51</f>
        <v>0</v>
      </c>
      <c r="E66" s="13">
        <f>'5b'!E51</f>
        <v>7600</v>
      </c>
      <c r="F66" s="13">
        <f>'5b'!F51</f>
        <v>7600</v>
      </c>
      <c r="G66" s="13">
        <f>'5b'!G51</f>
        <v>7600</v>
      </c>
      <c r="H66" s="157">
        <f>'5b'!H51</f>
        <v>7600</v>
      </c>
      <c r="I66" s="205">
        <f t="shared" si="19"/>
        <v>5066.666666666667</v>
      </c>
      <c r="J66" s="205">
        <f t="shared" si="20"/>
        <v>30400</v>
      </c>
      <c r="L66" s="209"/>
      <c r="M66" s="268"/>
    </row>
    <row r="67" spans="1:13" ht="13.15" customHeight="1" x14ac:dyDescent="0.3">
      <c r="A67" s="256" t="str">
        <f>IF('5b'!A22="","-",'5b'!A22)</f>
        <v>Camion de dépannage 2028  - renouvellmement des camions de dépannage atelier</v>
      </c>
      <c r="B67" s="253"/>
      <c r="C67" s="13">
        <f>'5b'!C52</f>
        <v>0</v>
      </c>
      <c r="D67" s="13">
        <f>'5b'!D52</f>
        <v>0</v>
      </c>
      <c r="E67" s="13">
        <f>'5b'!E52</f>
        <v>0</v>
      </c>
      <c r="F67" s="13">
        <f>'5b'!F52</f>
        <v>0</v>
      </c>
      <c r="G67" s="13">
        <f>'5b'!G52</f>
        <v>7600</v>
      </c>
      <c r="H67" s="157">
        <f>'5b'!H52</f>
        <v>7600</v>
      </c>
      <c r="I67" s="205">
        <f t="shared" si="19"/>
        <v>2533.3333333333335</v>
      </c>
      <c r="J67" s="205">
        <f t="shared" si="20"/>
        <v>15200</v>
      </c>
      <c r="L67" s="209"/>
      <c r="M67" s="268"/>
    </row>
    <row r="68" spans="1:13" ht="13.15" customHeight="1" x14ac:dyDescent="0.3">
      <c r="A68" s="256" t="str">
        <f>IF('5b'!A23="","-",'5b'!A23)</f>
        <v>Services vélos</v>
      </c>
      <c r="B68" s="253"/>
      <c r="C68" s="13">
        <f>'5b'!C53</f>
        <v>5016</v>
      </c>
      <c r="D68" s="13">
        <f>'5b'!D53</f>
        <v>5016</v>
      </c>
      <c r="E68" s="13">
        <f>'5b'!E53</f>
        <v>5016</v>
      </c>
      <c r="F68" s="13">
        <f>'5b'!F53</f>
        <v>5016</v>
      </c>
      <c r="G68" s="13">
        <f>'5b'!G53</f>
        <v>5016</v>
      </c>
      <c r="H68" s="157">
        <f>'5b'!H53</f>
        <v>0</v>
      </c>
      <c r="I68" s="205">
        <f t="shared" si="19"/>
        <v>4180</v>
      </c>
      <c r="J68" s="205">
        <f t="shared" si="20"/>
        <v>25080</v>
      </c>
      <c r="L68" s="209"/>
      <c r="M68" s="268"/>
    </row>
    <row r="69" spans="1:13" ht="13.15" customHeight="1" x14ac:dyDescent="0.3">
      <c r="A69" s="256" t="str">
        <f>IF('5b'!A24="","-",'5b'!A24)</f>
        <v>Système d'information voyageur 2024 - Site internet et investissements associés</v>
      </c>
      <c r="B69" s="253"/>
      <c r="C69" s="13">
        <f>'5b'!C54</f>
        <v>74300</v>
      </c>
      <c r="D69" s="13">
        <f>'5b'!D54</f>
        <v>74300</v>
      </c>
      <c r="E69" s="13">
        <f>'5b'!E54</f>
        <v>74300</v>
      </c>
      <c r="F69" s="13">
        <f>'5b'!F54</f>
        <v>74300</v>
      </c>
      <c r="G69" s="13">
        <f>'5b'!G54</f>
        <v>74300</v>
      </c>
      <c r="H69" s="157">
        <f>'5b'!H54</f>
        <v>0</v>
      </c>
      <c r="I69" s="205">
        <f t="shared" si="19"/>
        <v>61916.666666666664</v>
      </c>
      <c r="J69" s="205">
        <f t="shared" si="20"/>
        <v>371500</v>
      </c>
      <c r="L69" s="209"/>
      <c r="M69" s="268"/>
    </row>
    <row r="70" spans="1:13" ht="13.15" customHeight="1" x14ac:dyDescent="0.3">
      <c r="A70" s="256" t="str">
        <f>IF('5b'!A25="","-",'5b'!A25)</f>
        <v>Système d'information voyageur 2025 - Site internet et investissements associés</v>
      </c>
      <c r="B70" s="253"/>
      <c r="C70" s="13">
        <f>'5b'!C55</f>
        <v>0</v>
      </c>
      <c r="D70" s="13">
        <f>'5b'!D55</f>
        <v>17200</v>
      </c>
      <c r="E70" s="13">
        <f>'5b'!E55</f>
        <v>17200</v>
      </c>
      <c r="F70" s="13">
        <f>'5b'!F55</f>
        <v>17200</v>
      </c>
      <c r="G70" s="13">
        <f>'5b'!G55</f>
        <v>17200</v>
      </c>
      <c r="H70" s="157">
        <f>'5b'!H55</f>
        <v>17200</v>
      </c>
      <c r="I70" s="205">
        <f t="shared" si="19"/>
        <v>14333.333333333334</v>
      </c>
      <c r="J70" s="205">
        <f t="shared" si="20"/>
        <v>86000</v>
      </c>
      <c r="L70" s="209"/>
      <c r="M70" s="268"/>
    </row>
    <row r="71" spans="1:13" ht="13.15" customHeight="1" x14ac:dyDescent="0.3">
      <c r="A71" s="256" t="str">
        <f>IF('5b'!A26="","-",'5b'!A26)</f>
        <v>Véhicule utilitaire Vélos</v>
      </c>
      <c r="B71" s="253"/>
      <c r="C71" s="13">
        <f>'5b'!C56</f>
        <v>6400</v>
      </c>
      <c r="D71" s="13">
        <f>'5b'!D56</f>
        <v>6400</v>
      </c>
      <c r="E71" s="13">
        <f>'5b'!E56</f>
        <v>6400</v>
      </c>
      <c r="F71" s="13">
        <f>'5b'!F56</f>
        <v>6400</v>
      </c>
      <c r="G71" s="13">
        <f>'5b'!G56</f>
        <v>6400</v>
      </c>
      <c r="H71" s="157">
        <f>'5b'!H56</f>
        <v>0</v>
      </c>
      <c r="I71" s="205">
        <f t="shared" si="19"/>
        <v>5333.333333333333</v>
      </c>
      <c r="J71" s="205">
        <f t="shared" si="20"/>
        <v>32000</v>
      </c>
      <c r="L71" s="209"/>
      <c r="M71" s="268"/>
    </row>
    <row r="72" spans="1:13" ht="13.15" customHeight="1" x14ac:dyDescent="0.3">
      <c r="A72" s="256" t="str">
        <f>IF('5b'!A27="","-",'5b'!A27)</f>
        <v>Batteries VAE (30) et trottinettes (5)</v>
      </c>
      <c r="B72" s="253"/>
      <c r="C72" s="13">
        <f>'5b'!C57</f>
        <v>0</v>
      </c>
      <c r="D72" s="13">
        <f>'5b'!D57</f>
        <v>0</v>
      </c>
      <c r="E72" s="13">
        <f>'5b'!E57</f>
        <v>3300</v>
      </c>
      <c r="F72" s="13">
        <f>'5b'!F57</f>
        <v>3300</v>
      </c>
      <c r="G72" s="13">
        <f>'5b'!G57</f>
        <v>3300</v>
      </c>
      <c r="H72" s="157">
        <f>'5b'!H57</f>
        <v>3300</v>
      </c>
      <c r="I72" s="205">
        <f t="shared" si="19"/>
        <v>2200</v>
      </c>
      <c r="J72" s="205">
        <f t="shared" si="20"/>
        <v>13200</v>
      </c>
      <c r="L72" s="209"/>
      <c r="M72" s="268"/>
    </row>
    <row r="73" spans="1:13" ht="13.15" customHeight="1" x14ac:dyDescent="0.3">
      <c r="A73" s="256" t="str">
        <f>IF('5b'!A28="","-",'5b'!A28)</f>
        <v>Batteries VAE (30) et trottinettes (5)</v>
      </c>
      <c r="B73" s="253"/>
      <c r="C73" s="13">
        <f>'5b'!C58</f>
        <v>0</v>
      </c>
      <c r="D73" s="13">
        <f>'5b'!D58</f>
        <v>0</v>
      </c>
      <c r="E73" s="13">
        <f>'5b'!E58</f>
        <v>0</v>
      </c>
      <c r="F73" s="13">
        <f>'5b'!F58</f>
        <v>3300</v>
      </c>
      <c r="G73" s="13">
        <f>'5b'!G58</f>
        <v>3300</v>
      </c>
      <c r="H73" s="157">
        <f>'5b'!H58</f>
        <v>3300</v>
      </c>
      <c r="I73" s="205">
        <f t="shared" si="19"/>
        <v>1650</v>
      </c>
      <c r="J73" s="205">
        <f t="shared" si="20"/>
        <v>9900</v>
      </c>
      <c r="L73" s="209"/>
      <c r="M73" s="268"/>
    </row>
    <row r="74" spans="1:13" ht="13.15" customHeight="1" x14ac:dyDescent="0.3">
      <c r="A74" s="256" t="str">
        <f>IF('5b'!A29="","-",'5b'!A29)</f>
        <v>-</v>
      </c>
      <c r="B74" s="253"/>
      <c r="C74" s="13">
        <f>'5b'!C59</f>
        <v>0</v>
      </c>
      <c r="D74" s="13">
        <f>'5b'!D59</f>
        <v>0</v>
      </c>
      <c r="E74" s="13">
        <f>'5b'!E59</f>
        <v>0</v>
      </c>
      <c r="F74" s="13">
        <f>'5b'!F59</f>
        <v>0</v>
      </c>
      <c r="G74" s="13">
        <f>'5b'!G59</f>
        <v>0</v>
      </c>
      <c r="H74" s="157">
        <f>'5b'!H59</f>
        <v>0</v>
      </c>
      <c r="I74" s="205">
        <f t="shared" si="19"/>
        <v>0</v>
      </c>
      <c r="J74" s="205">
        <f t="shared" si="20"/>
        <v>0</v>
      </c>
      <c r="L74" s="209"/>
      <c r="M74" s="268"/>
    </row>
    <row r="75" spans="1:13" ht="13.15" customHeight="1" x14ac:dyDescent="0.3">
      <c r="A75" s="50" t="s">
        <v>180</v>
      </c>
      <c r="B75" s="53" t="s">
        <v>369</v>
      </c>
      <c r="C75" s="357">
        <f>SUM(C76:C85)</f>
        <v>370000</v>
      </c>
      <c r="D75" s="293">
        <f t="shared" ref="D75:H75" si="21">SUM(D76:D85)</f>
        <v>370000</v>
      </c>
      <c r="E75" s="293">
        <f t="shared" si="21"/>
        <v>370000</v>
      </c>
      <c r="F75" s="293">
        <f t="shared" si="21"/>
        <v>370000</v>
      </c>
      <c r="G75" s="293">
        <f t="shared" si="21"/>
        <v>370000</v>
      </c>
      <c r="H75" s="292">
        <f t="shared" si="21"/>
        <v>370000</v>
      </c>
      <c r="I75" s="54">
        <f t="shared" si="12"/>
        <v>370000</v>
      </c>
      <c r="J75" s="54">
        <f t="shared" si="13"/>
        <v>2220000</v>
      </c>
      <c r="L75" s="210"/>
      <c r="M75" s="268"/>
    </row>
    <row r="76" spans="1:13" ht="13.15" customHeight="1" x14ac:dyDescent="0.3">
      <c r="A76" s="33" t="str">
        <f>IF('5c'!A6="","-",'5c'!A6)</f>
        <v>Maintenance lourde véhicules articulés</v>
      </c>
      <c r="B76" s="12"/>
      <c r="C76" s="13">
        <f>'5c'!C6</f>
        <v>370000</v>
      </c>
      <c r="D76" s="13">
        <f>'5c'!D6</f>
        <v>370000</v>
      </c>
      <c r="E76" s="13">
        <f>'5c'!E6</f>
        <v>370000</v>
      </c>
      <c r="F76" s="13">
        <f>'5c'!F6</f>
        <v>370000</v>
      </c>
      <c r="G76" s="13">
        <f>'5c'!G6</f>
        <v>370000</v>
      </c>
      <c r="H76" s="157">
        <f>'5c'!H6</f>
        <v>370000</v>
      </c>
      <c r="I76" s="204">
        <f t="shared" si="12"/>
        <v>370000</v>
      </c>
      <c r="J76" s="204">
        <f t="shared" si="13"/>
        <v>2220000</v>
      </c>
      <c r="L76" s="209"/>
      <c r="M76" s="268"/>
    </row>
    <row r="77" spans="1:13" ht="13.15" customHeight="1" x14ac:dyDescent="0.3">
      <c r="A77" s="33" t="str">
        <f>IF('5c'!A7="","-",'5c'!A7)</f>
        <v>-</v>
      </c>
      <c r="B77" s="12"/>
      <c r="C77" s="13">
        <f>'5c'!C7</f>
        <v>0</v>
      </c>
      <c r="D77" s="13">
        <f>'5c'!D7</f>
        <v>0</v>
      </c>
      <c r="E77" s="13">
        <f>'5c'!E7</f>
        <v>0</v>
      </c>
      <c r="F77" s="13">
        <f>'5c'!F7</f>
        <v>0</v>
      </c>
      <c r="G77" s="13">
        <f>'5c'!G7</f>
        <v>0</v>
      </c>
      <c r="H77" s="157">
        <f>'5c'!H7</f>
        <v>0</v>
      </c>
      <c r="I77" s="205">
        <f t="shared" si="12"/>
        <v>0</v>
      </c>
      <c r="J77" s="205">
        <f t="shared" si="13"/>
        <v>0</v>
      </c>
      <c r="L77" s="209"/>
      <c r="M77" s="268"/>
    </row>
    <row r="78" spans="1:13" ht="13.15" customHeight="1" x14ac:dyDescent="0.3">
      <c r="A78" s="33" t="str">
        <f>IF('5c'!A8="","-",'5c'!A8)</f>
        <v>-</v>
      </c>
      <c r="B78" s="12"/>
      <c r="C78" s="13">
        <f>'5c'!C8</f>
        <v>0</v>
      </c>
      <c r="D78" s="13">
        <f>'5c'!D8</f>
        <v>0</v>
      </c>
      <c r="E78" s="13">
        <f>'5c'!E8</f>
        <v>0</v>
      </c>
      <c r="F78" s="13">
        <f>'5c'!F8</f>
        <v>0</v>
      </c>
      <c r="G78" s="13">
        <f>'5c'!G8</f>
        <v>0</v>
      </c>
      <c r="H78" s="157">
        <f>'5c'!H8</f>
        <v>0</v>
      </c>
      <c r="I78" s="205">
        <f t="shared" ref="I78:I80" si="22">IFERROR(AVERAGE(C78:H78),0)</f>
        <v>0</v>
      </c>
      <c r="J78" s="205">
        <f t="shared" ref="J78:J80" si="23">SUM(C78:H78)</f>
        <v>0</v>
      </c>
      <c r="L78" s="209"/>
      <c r="M78" s="268"/>
    </row>
    <row r="79" spans="1:13" ht="13.15" customHeight="1" x14ac:dyDescent="0.3">
      <c r="A79" s="33" t="str">
        <f>IF('5c'!A9="","-",'5c'!A9)</f>
        <v>-</v>
      </c>
      <c r="B79" s="12"/>
      <c r="C79" s="13">
        <f>'5c'!C9</f>
        <v>0</v>
      </c>
      <c r="D79" s="13">
        <f>'5c'!D9</f>
        <v>0</v>
      </c>
      <c r="E79" s="13">
        <f>'5c'!E9</f>
        <v>0</v>
      </c>
      <c r="F79" s="13">
        <f>'5c'!F9</f>
        <v>0</v>
      </c>
      <c r="G79" s="13">
        <f>'5c'!G9</f>
        <v>0</v>
      </c>
      <c r="H79" s="157">
        <f>'5c'!H9</f>
        <v>0</v>
      </c>
      <c r="I79" s="205">
        <f t="shared" si="22"/>
        <v>0</v>
      </c>
      <c r="J79" s="205">
        <f t="shared" si="23"/>
        <v>0</v>
      </c>
      <c r="L79" s="209"/>
      <c r="M79" s="268"/>
    </row>
    <row r="80" spans="1:13" ht="13.15" customHeight="1" x14ac:dyDescent="0.3">
      <c r="A80" s="33" t="str">
        <f>IF('5c'!A10="","-",'5c'!A10)</f>
        <v>-</v>
      </c>
      <c r="B80" s="12"/>
      <c r="C80" s="13">
        <f>'5c'!C10</f>
        <v>0</v>
      </c>
      <c r="D80" s="13">
        <f>'5c'!D10</f>
        <v>0</v>
      </c>
      <c r="E80" s="13">
        <f>'5c'!E10</f>
        <v>0</v>
      </c>
      <c r="F80" s="13">
        <f>'5c'!F10</f>
        <v>0</v>
      </c>
      <c r="G80" s="13">
        <f>'5c'!G10</f>
        <v>0</v>
      </c>
      <c r="H80" s="157">
        <f>'5c'!H10</f>
        <v>0</v>
      </c>
      <c r="I80" s="205">
        <f t="shared" si="22"/>
        <v>0</v>
      </c>
      <c r="J80" s="205">
        <f t="shared" si="23"/>
        <v>0</v>
      </c>
      <c r="L80" s="209"/>
      <c r="M80" s="268"/>
    </row>
    <row r="81" spans="1:18" ht="13.15" customHeight="1" x14ac:dyDescent="0.3">
      <c r="A81" s="33" t="str">
        <f>IF('5c'!A11="","-",'5c'!A11)</f>
        <v>-</v>
      </c>
      <c r="B81" s="12"/>
      <c r="C81" s="13">
        <f>'5c'!C11</f>
        <v>0</v>
      </c>
      <c r="D81" s="13">
        <f>'5c'!D11</f>
        <v>0</v>
      </c>
      <c r="E81" s="13">
        <f>'5c'!E11</f>
        <v>0</v>
      </c>
      <c r="F81" s="13">
        <f>'5c'!F11</f>
        <v>0</v>
      </c>
      <c r="G81" s="13">
        <f>'5c'!G11</f>
        <v>0</v>
      </c>
      <c r="H81" s="157">
        <f>'5c'!H11</f>
        <v>0</v>
      </c>
      <c r="I81" s="205">
        <f t="shared" si="12"/>
        <v>0</v>
      </c>
      <c r="J81" s="205">
        <f t="shared" si="13"/>
        <v>0</v>
      </c>
      <c r="L81" s="209"/>
      <c r="M81" s="268"/>
    </row>
    <row r="82" spans="1:18" ht="13.15" customHeight="1" x14ac:dyDescent="0.3">
      <c r="A82" s="33" t="str">
        <f>IF('5c'!A12="","-",'5c'!A12)</f>
        <v>-</v>
      </c>
      <c r="B82" s="12"/>
      <c r="C82" s="13">
        <f>'5c'!C12</f>
        <v>0</v>
      </c>
      <c r="D82" s="13">
        <f>'5c'!D12</f>
        <v>0</v>
      </c>
      <c r="E82" s="13">
        <f>'5c'!E12</f>
        <v>0</v>
      </c>
      <c r="F82" s="13">
        <f>'5c'!F12</f>
        <v>0</v>
      </c>
      <c r="G82" s="13">
        <f>'5c'!G12</f>
        <v>0</v>
      </c>
      <c r="H82" s="157">
        <f>'5c'!H12</f>
        <v>0</v>
      </c>
      <c r="I82" s="205">
        <f t="shared" si="12"/>
        <v>0</v>
      </c>
      <c r="J82" s="205">
        <f t="shared" si="13"/>
        <v>0</v>
      </c>
      <c r="L82" s="209"/>
      <c r="M82" s="268"/>
    </row>
    <row r="83" spans="1:18" ht="13.15" customHeight="1" x14ac:dyDescent="0.3">
      <c r="A83" s="33" t="str">
        <f>IF('5c'!A13="","-",'5c'!A13)</f>
        <v>-</v>
      </c>
      <c r="B83" s="12"/>
      <c r="C83" s="13">
        <f>'5c'!C13</f>
        <v>0</v>
      </c>
      <c r="D83" s="13">
        <f>'5c'!D13</f>
        <v>0</v>
      </c>
      <c r="E83" s="13">
        <f>'5c'!E13</f>
        <v>0</v>
      </c>
      <c r="F83" s="13">
        <f>'5c'!F13</f>
        <v>0</v>
      </c>
      <c r="G83" s="13">
        <f>'5c'!G13</f>
        <v>0</v>
      </c>
      <c r="H83" s="157">
        <f>'5c'!H13</f>
        <v>0</v>
      </c>
      <c r="I83" s="205">
        <f t="shared" si="12"/>
        <v>0</v>
      </c>
      <c r="J83" s="205">
        <f t="shared" si="13"/>
        <v>0</v>
      </c>
      <c r="L83" s="209"/>
      <c r="M83" s="268"/>
    </row>
    <row r="84" spans="1:18" ht="13.15" customHeight="1" x14ac:dyDescent="0.3">
      <c r="A84" s="33" t="str">
        <f>IF('5c'!A14="","-",'5c'!A14)</f>
        <v>-</v>
      </c>
      <c r="B84" s="12"/>
      <c r="C84" s="13">
        <f>'5c'!C14</f>
        <v>0</v>
      </c>
      <c r="D84" s="13">
        <f>'5c'!D14</f>
        <v>0</v>
      </c>
      <c r="E84" s="13">
        <f>'5c'!E14</f>
        <v>0</v>
      </c>
      <c r="F84" s="13">
        <f>'5c'!F14</f>
        <v>0</v>
      </c>
      <c r="G84" s="13">
        <f>'5c'!G14</f>
        <v>0</v>
      </c>
      <c r="H84" s="157">
        <f>'5c'!H14</f>
        <v>0</v>
      </c>
      <c r="I84" s="205">
        <f t="shared" si="12"/>
        <v>0</v>
      </c>
      <c r="J84" s="205">
        <f t="shared" si="13"/>
        <v>0</v>
      </c>
      <c r="L84" s="209"/>
      <c r="M84" s="268"/>
    </row>
    <row r="85" spans="1:18" ht="13.15" customHeight="1" x14ac:dyDescent="0.3">
      <c r="A85" s="33" t="str">
        <f>IF('5c'!A15="","-",'5c'!A15)</f>
        <v>-</v>
      </c>
      <c r="B85" s="12"/>
      <c r="C85" s="13">
        <f>'5c'!C15</f>
        <v>0</v>
      </c>
      <c r="D85" s="13">
        <f>'5c'!D15</f>
        <v>0</v>
      </c>
      <c r="E85" s="13">
        <f>'5c'!E15</f>
        <v>0</v>
      </c>
      <c r="F85" s="13">
        <f>'5c'!F15</f>
        <v>0</v>
      </c>
      <c r="G85" s="13">
        <f>'5c'!G15</f>
        <v>0</v>
      </c>
      <c r="H85" s="157">
        <f>'5c'!H15</f>
        <v>0</v>
      </c>
      <c r="I85" s="205">
        <f t="shared" si="12"/>
        <v>0</v>
      </c>
      <c r="J85" s="205">
        <f t="shared" si="13"/>
        <v>0</v>
      </c>
      <c r="L85" s="209"/>
      <c r="M85" s="268"/>
    </row>
    <row r="86" spans="1:18" ht="13.15" customHeight="1" x14ac:dyDescent="0.3">
      <c r="A86" s="50" t="s">
        <v>45</v>
      </c>
      <c r="B86" s="53"/>
      <c r="C86" s="357">
        <f>SUM(C87:C110)</f>
        <v>3439916.2217284665</v>
      </c>
      <c r="D86" s="293">
        <f t="shared" ref="D86:H86" si="24">SUM(D87:D110)</f>
        <v>3449776.4741604072</v>
      </c>
      <c r="E86" s="293">
        <f t="shared" si="24"/>
        <v>3444249.7693655244</v>
      </c>
      <c r="F86" s="293">
        <f t="shared" si="24"/>
        <v>3414386.0743218274</v>
      </c>
      <c r="G86" s="293">
        <f t="shared" si="24"/>
        <v>3392444.521931496</v>
      </c>
      <c r="H86" s="292">
        <f t="shared" si="24"/>
        <v>3417819.7939422275</v>
      </c>
      <c r="I86" s="54">
        <f t="shared" si="12"/>
        <v>3426432.1425749916</v>
      </c>
      <c r="J86" s="54">
        <f t="shared" si="13"/>
        <v>20558592.855449948</v>
      </c>
      <c r="L86" s="497" t="s">
        <v>316</v>
      </c>
      <c r="M86" s="268"/>
    </row>
    <row r="87" spans="1:18" ht="13.15" customHeight="1" x14ac:dyDescent="0.3">
      <c r="A87" s="25" t="s">
        <v>46</v>
      </c>
      <c r="B87" s="12"/>
      <c r="C87" s="316">
        <v>4000.0000000000009</v>
      </c>
      <c r="D87" s="316">
        <v>4000.0000000000009</v>
      </c>
      <c r="E87" s="316">
        <v>4000.0000000000009</v>
      </c>
      <c r="F87" s="316">
        <v>4000.0000000000009</v>
      </c>
      <c r="G87" s="316">
        <v>4000.0000000000009</v>
      </c>
      <c r="H87" s="317">
        <v>4000.0000000000009</v>
      </c>
      <c r="I87" s="204">
        <f t="shared" si="12"/>
        <v>4000.0000000000005</v>
      </c>
      <c r="J87" s="204">
        <f t="shared" si="13"/>
        <v>24000.000000000004</v>
      </c>
      <c r="L87" s="209"/>
      <c r="M87" s="268"/>
      <c r="R87" s="268"/>
    </row>
    <row r="88" spans="1:18" ht="13.15" customHeight="1" x14ac:dyDescent="0.3">
      <c r="A88" s="25" t="s">
        <v>47</v>
      </c>
      <c r="B88" s="12"/>
      <c r="C88" s="316">
        <v>296500</v>
      </c>
      <c r="D88" s="316">
        <v>236500</v>
      </c>
      <c r="E88" s="316">
        <v>228500</v>
      </c>
      <c r="F88" s="316">
        <v>236500</v>
      </c>
      <c r="G88" s="316">
        <v>221500</v>
      </c>
      <c r="H88" s="317">
        <v>243500</v>
      </c>
      <c r="I88" s="205">
        <f t="shared" si="12"/>
        <v>243833.33333333334</v>
      </c>
      <c r="J88" s="205">
        <f t="shared" si="13"/>
        <v>1463000</v>
      </c>
      <c r="L88" s="209"/>
      <c r="M88" s="268"/>
      <c r="R88" s="268"/>
    </row>
    <row r="89" spans="1:18" ht="13.15" customHeight="1" x14ac:dyDescent="0.3">
      <c r="A89" s="634" t="s">
        <v>534</v>
      </c>
      <c r="B89" s="12"/>
      <c r="C89" s="635">
        <v>66000</v>
      </c>
      <c r="D89" s="635">
        <v>66000</v>
      </c>
      <c r="E89" s="635">
        <v>66000</v>
      </c>
      <c r="F89" s="635">
        <v>66000</v>
      </c>
      <c r="G89" s="635">
        <v>66000</v>
      </c>
      <c r="H89" s="636">
        <v>66000</v>
      </c>
      <c r="I89" s="205">
        <f t="shared" ref="I89" si="25">IFERROR(AVERAGE(C89:H89),0)</f>
        <v>66000</v>
      </c>
      <c r="J89" s="205">
        <f t="shared" ref="J89" si="26">SUM(C89:H89)</f>
        <v>396000</v>
      </c>
      <c r="L89" s="209"/>
      <c r="M89" s="268"/>
      <c r="R89" s="268"/>
    </row>
    <row r="90" spans="1:18" ht="13.15" customHeight="1" x14ac:dyDescent="0.3">
      <c r="A90" s="634" t="s">
        <v>533</v>
      </c>
      <c r="B90" s="12"/>
      <c r="C90" s="635">
        <v>409688.52516269765</v>
      </c>
      <c r="D90" s="635">
        <v>411092.8214406367</v>
      </c>
      <c r="E90" s="635">
        <v>411737.56401158351</v>
      </c>
      <c r="F90" s="635">
        <v>414356.27656995447</v>
      </c>
      <c r="G90" s="635">
        <v>413879.09536077466</v>
      </c>
      <c r="H90" s="636">
        <v>419603.31105329649</v>
      </c>
      <c r="I90" s="205">
        <f t="shared" ref="I90:I91" si="27">IFERROR(AVERAGE(C90:H90),0)</f>
        <v>413392.93226649059</v>
      </c>
      <c r="J90" s="205">
        <f t="shared" ref="J90:J91" si="28">SUM(C90:H90)</f>
        <v>2480357.5935989437</v>
      </c>
      <c r="L90" s="209"/>
      <c r="M90" s="268"/>
      <c r="R90" s="268"/>
    </row>
    <row r="91" spans="1:18" ht="13.15" customHeight="1" x14ac:dyDescent="0.3">
      <c r="A91" s="634" t="s">
        <v>535</v>
      </c>
      <c r="B91" s="12"/>
      <c r="C91" s="635">
        <v>370000</v>
      </c>
      <c r="D91" s="635">
        <v>370000</v>
      </c>
      <c r="E91" s="635">
        <v>370000</v>
      </c>
      <c r="F91" s="635">
        <v>370000</v>
      </c>
      <c r="G91" s="635">
        <v>370000</v>
      </c>
      <c r="H91" s="636">
        <v>370000</v>
      </c>
      <c r="I91" s="205">
        <f t="shared" si="27"/>
        <v>370000</v>
      </c>
      <c r="J91" s="205">
        <f t="shared" si="28"/>
        <v>2220000</v>
      </c>
      <c r="L91" s="209"/>
      <c r="M91" s="268"/>
      <c r="R91" s="268"/>
    </row>
    <row r="92" spans="1:18" ht="13.15" customHeight="1" x14ac:dyDescent="0.3">
      <c r="A92" s="25" t="s">
        <v>48</v>
      </c>
      <c r="B92" s="12"/>
      <c r="C92" s="316">
        <v>155000</v>
      </c>
      <c r="D92" s="316">
        <v>155000</v>
      </c>
      <c r="E92" s="316">
        <v>155000</v>
      </c>
      <c r="F92" s="316">
        <v>155000</v>
      </c>
      <c r="G92" s="316">
        <v>155000</v>
      </c>
      <c r="H92" s="317">
        <v>155000</v>
      </c>
      <c r="I92" s="205">
        <f t="shared" si="12"/>
        <v>155000</v>
      </c>
      <c r="J92" s="205">
        <f t="shared" si="13"/>
        <v>930000</v>
      </c>
      <c r="L92" s="209"/>
      <c r="M92" s="268"/>
      <c r="R92" s="268"/>
    </row>
    <row r="93" spans="1:18" ht="13.15" customHeight="1" x14ac:dyDescent="0.3">
      <c r="A93" s="25" t="s">
        <v>49</v>
      </c>
      <c r="B93" s="12"/>
      <c r="C93" s="316">
        <v>-163730.48334606591</v>
      </c>
      <c r="D93" s="316">
        <v>-165006.49651278672</v>
      </c>
      <c r="E93" s="316">
        <v>-165129.71798359576</v>
      </c>
      <c r="F93" s="316">
        <v>-165561.10517009516</v>
      </c>
      <c r="G93" s="316">
        <v>-166167.34424515691</v>
      </c>
      <c r="H93" s="317">
        <v>-166616.88552170867</v>
      </c>
      <c r="I93" s="205">
        <f t="shared" ref="I93:I114" si="29">IFERROR(AVERAGE(C93:H93),0)</f>
        <v>-165368.67212990153</v>
      </c>
      <c r="J93" s="205">
        <f t="shared" ref="J93:J114" si="30">SUM(C93:H93)</f>
        <v>-992212.0327794092</v>
      </c>
      <c r="L93" s="209"/>
      <c r="M93" s="268"/>
      <c r="R93" s="268"/>
    </row>
    <row r="94" spans="1:18" ht="13.15" customHeight="1" x14ac:dyDescent="0.3">
      <c r="A94" s="25" t="s">
        <v>50</v>
      </c>
      <c r="B94" s="12"/>
      <c r="C94" s="316">
        <v>91400</v>
      </c>
      <c r="D94" s="316">
        <v>91400</v>
      </c>
      <c r="E94" s="316">
        <v>91400</v>
      </c>
      <c r="F94" s="316">
        <v>91400</v>
      </c>
      <c r="G94" s="316">
        <v>91400</v>
      </c>
      <c r="H94" s="317">
        <v>91400</v>
      </c>
      <c r="I94" s="205">
        <f t="shared" si="29"/>
        <v>91400</v>
      </c>
      <c r="J94" s="205">
        <f t="shared" si="30"/>
        <v>548400</v>
      </c>
      <c r="L94" s="209"/>
      <c r="M94" s="268"/>
      <c r="R94" s="268"/>
    </row>
    <row r="95" spans="1:18" ht="13.15" customHeight="1" x14ac:dyDescent="0.3">
      <c r="A95" s="25" t="s">
        <v>91</v>
      </c>
      <c r="B95" s="12"/>
      <c r="C95" s="316">
        <v>16999.999999999996</v>
      </c>
      <c r="D95" s="316">
        <v>16999.999999999996</v>
      </c>
      <c r="E95" s="316">
        <v>16999.999999999996</v>
      </c>
      <c r="F95" s="316">
        <v>16999.999999999996</v>
      </c>
      <c r="G95" s="316">
        <v>16999.999999999996</v>
      </c>
      <c r="H95" s="317">
        <v>16999.999999999996</v>
      </c>
      <c r="I95" s="205">
        <f t="shared" si="29"/>
        <v>16999.999999999996</v>
      </c>
      <c r="J95" s="205">
        <f t="shared" si="30"/>
        <v>101999.99999999999</v>
      </c>
      <c r="L95" s="209"/>
      <c r="M95" s="268"/>
      <c r="R95" s="268"/>
    </row>
    <row r="96" spans="1:18" ht="13.15" customHeight="1" x14ac:dyDescent="0.3">
      <c r="A96" s="25" t="s">
        <v>51</v>
      </c>
      <c r="B96" s="12"/>
      <c r="C96" s="316">
        <v>231113.32646215259</v>
      </c>
      <c r="D96" s="316">
        <v>227720.33203749603</v>
      </c>
      <c r="E96" s="316">
        <v>227720.33203749603</v>
      </c>
      <c r="F96" s="316">
        <v>227720.33203749603</v>
      </c>
      <c r="G96" s="316">
        <v>227720.33203749603</v>
      </c>
      <c r="H96" s="317">
        <v>227720.33203749603</v>
      </c>
      <c r="I96" s="205">
        <f t="shared" si="29"/>
        <v>228285.83110827216</v>
      </c>
      <c r="J96" s="205">
        <f t="shared" si="30"/>
        <v>1369714.9866496329</v>
      </c>
      <c r="L96" s="209"/>
      <c r="M96" s="268"/>
      <c r="R96" s="268"/>
    </row>
    <row r="97" spans="1:27" ht="13.15" customHeight="1" x14ac:dyDescent="0.3">
      <c r="A97" s="169" t="s">
        <v>52</v>
      </c>
      <c r="B97" s="12"/>
      <c r="C97" s="316">
        <v>651231</v>
      </c>
      <c r="D97" s="316">
        <v>724431</v>
      </c>
      <c r="E97" s="316">
        <v>730431</v>
      </c>
      <c r="F97" s="316">
        <v>726431</v>
      </c>
      <c r="G97" s="316">
        <v>724431</v>
      </c>
      <c r="H97" s="317">
        <v>726431</v>
      </c>
      <c r="I97" s="205">
        <f t="shared" si="29"/>
        <v>713897.66666666663</v>
      </c>
      <c r="J97" s="205">
        <f t="shared" si="30"/>
        <v>4283386</v>
      </c>
      <c r="L97" s="209"/>
      <c r="M97" s="268"/>
      <c r="R97" s="268"/>
    </row>
    <row r="98" spans="1:27" ht="13.15" customHeight="1" x14ac:dyDescent="0.3">
      <c r="A98" s="25" t="s">
        <v>53</v>
      </c>
      <c r="B98" s="12"/>
      <c r="C98" s="316">
        <v>65000</v>
      </c>
      <c r="D98" s="316">
        <v>65000</v>
      </c>
      <c r="E98" s="316">
        <v>65000</v>
      </c>
      <c r="F98" s="316">
        <v>65000</v>
      </c>
      <c r="G98" s="316">
        <v>65000</v>
      </c>
      <c r="H98" s="317">
        <v>65000</v>
      </c>
      <c r="I98" s="205">
        <f t="shared" si="29"/>
        <v>65000</v>
      </c>
      <c r="J98" s="205">
        <f t="shared" si="30"/>
        <v>390000</v>
      </c>
      <c r="L98" s="209"/>
      <c r="M98" s="268"/>
      <c r="R98" s="268"/>
    </row>
    <row r="99" spans="1:27" ht="13.15" customHeight="1" x14ac:dyDescent="0.3">
      <c r="A99" s="25" t="s">
        <v>92</v>
      </c>
      <c r="B99" s="12"/>
      <c r="C99" s="316">
        <v>90000</v>
      </c>
      <c r="D99" s="316">
        <v>90000</v>
      </c>
      <c r="E99" s="316">
        <v>90000</v>
      </c>
      <c r="F99" s="316">
        <v>90000</v>
      </c>
      <c r="G99" s="316">
        <v>90000</v>
      </c>
      <c r="H99" s="317">
        <v>90000</v>
      </c>
      <c r="I99" s="205">
        <f t="shared" si="29"/>
        <v>90000</v>
      </c>
      <c r="J99" s="205">
        <f t="shared" si="30"/>
        <v>540000</v>
      </c>
      <c r="L99" s="209"/>
      <c r="M99" s="268"/>
      <c r="R99" s="268"/>
    </row>
    <row r="100" spans="1:27" ht="13.15" customHeight="1" x14ac:dyDescent="0.3">
      <c r="A100" s="169" t="s">
        <v>97</v>
      </c>
      <c r="B100" s="12"/>
      <c r="C100" s="316">
        <v>44182.540983606552</v>
      </c>
      <c r="D100" s="316">
        <v>44179.780821917811</v>
      </c>
      <c r="E100" s="316">
        <v>44178.383561643845</v>
      </c>
      <c r="F100" s="316">
        <v>44174.191780821915</v>
      </c>
      <c r="G100" s="316">
        <v>44175.573770491806</v>
      </c>
      <c r="H100" s="317">
        <v>44323</v>
      </c>
      <c r="I100" s="205">
        <f t="shared" si="29"/>
        <v>44202.245153080323</v>
      </c>
      <c r="J100" s="205">
        <f t="shared" si="30"/>
        <v>265213.47091848194</v>
      </c>
      <c r="L100" s="209"/>
      <c r="M100" s="268"/>
      <c r="R100" s="268"/>
    </row>
    <row r="101" spans="1:27" s="171" customFormat="1" ht="13.15" customHeight="1" x14ac:dyDescent="0.3">
      <c r="A101" s="169" t="s">
        <v>54</v>
      </c>
      <c r="B101" s="368"/>
      <c r="C101" s="374">
        <v>40000</v>
      </c>
      <c r="D101" s="374">
        <v>40000</v>
      </c>
      <c r="E101" s="374">
        <v>40000</v>
      </c>
      <c r="F101" s="374">
        <v>40000</v>
      </c>
      <c r="G101" s="374">
        <v>40000</v>
      </c>
      <c r="H101" s="375">
        <v>40000</v>
      </c>
      <c r="I101" s="369">
        <f t="shared" si="29"/>
        <v>40000</v>
      </c>
      <c r="J101" s="369">
        <f t="shared" si="30"/>
        <v>240000</v>
      </c>
      <c r="L101" s="370"/>
      <c r="M101" s="268"/>
      <c r="N101" s="268"/>
      <c r="O101" s="269"/>
      <c r="P101" s="268"/>
      <c r="Q101" s="268"/>
      <c r="R101" s="268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.15" customHeight="1" x14ac:dyDescent="0.3">
      <c r="A102" s="169" t="s">
        <v>93</v>
      </c>
      <c r="B102" s="12"/>
      <c r="C102" s="316">
        <v>184300</v>
      </c>
      <c r="D102" s="316">
        <v>184300</v>
      </c>
      <c r="E102" s="316">
        <v>180300</v>
      </c>
      <c r="F102" s="316">
        <v>144300</v>
      </c>
      <c r="G102" s="316">
        <v>140300</v>
      </c>
      <c r="H102" s="317">
        <v>136300</v>
      </c>
      <c r="I102" s="205">
        <f t="shared" si="29"/>
        <v>161633.33333333334</v>
      </c>
      <c r="J102" s="205">
        <f t="shared" si="30"/>
        <v>969800</v>
      </c>
      <c r="L102" s="209"/>
      <c r="M102" s="268"/>
      <c r="R102" s="268"/>
    </row>
    <row r="103" spans="1:27" ht="13.15" customHeight="1" x14ac:dyDescent="0.3">
      <c r="A103" s="169" t="s">
        <v>55</v>
      </c>
      <c r="B103" s="12"/>
      <c r="C103" s="316">
        <v>333197.1576946454</v>
      </c>
      <c r="D103" s="316">
        <v>333197.1576946454</v>
      </c>
      <c r="E103" s="316">
        <v>333197.1576946454</v>
      </c>
      <c r="F103" s="316">
        <v>333197.1576946454</v>
      </c>
      <c r="G103" s="316">
        <v>333197.1576946454</v>
      </c>
      <c r="H103" s="317">
        <v>333197.1576946454</v>
      </c>
      <c r="I103" s="205">
        <f t="shared" si="29"/>
        <v>333197.1576946454</v>
      </c>
      <c r="J103" s="205">
        <f t="shared" si="30"/>
        <v>1999182.9461678725</v>
      </c>
      <c r="L103" s="209"/>
      <c r="M103" s="268"/>
      <c r="R103" s="268"/>
    </row>
    <row r="104" spans="1:27" ht="13.15" customHeight="1" x14ac:dyDescent="0.3">
      <c r="A104" s="169" t="s">
        <v>94</v>
      </c>
      <c r="B104" s="12"/>
      <c r="C104" s="316">
        <v>110000</v>
      </c>
      <c r="D104" s="316">
        <v>110000</v>
      </c>
      <c r="E104" s="316">
        <v>110000</v>
      </c>
      <c r="F104" s="316">
        <v>110000</v>
      </c>
      <c r="G104" s="316">
        <v>110000</v>
      </c>
      <c r="H104" s="317">
        <v>110000</v>
      </c>
      <c r="I104" s="205">
        <f t="shared" si="29"/>
        <v>110000</v>
      </c>
      <c r="J104" s="205">
        <f t="shared" si="30"/>
        <v>660000</v>
      </c>
      <c r="L104" s="209"/>
      <c r="M104" s="268"/>
      <c r="R104" s="268"/>
    </row>
    <row r="105" spans="1:27" ht="13.15" customHeight="1" x14ac:dyDescent="0.3">
      <c r="A105" s="538" t="s">
        <v>513</v>
      </c>
      <c r="B105" s="12"/>
      <c r="C105" s="608">
        <v>0</v>
      </c>
      <c r="D105" s="608">
        <v>0</v>
      </c>
      <c r="E105" s="608">
        <v>0</v>
      </c>
      <c r="F105" s="608">
        <v>0</v>
      </c>
      <c r="G105" s="608">
        <v>0</v>
      </c>
      <c r="H105" s="609">
        <v>0</v>
      </c>
      <c r="I105" s="539">
        <f t="shared" si="29"/>
        <v>0</v>
      </c>
      <c r="J105" s="539">
        <f t="shared" si="30"/>
        <v>0</v>
      </c>
      <c r="L105" s="209"/>
      <c r="M105" s="268"/>
      <c r="R105" s="268"/>
    </row>
    <row r="106" spans="1:27" ht="13.15" customHeight="1" x14ac:dyDescent="0.3">
      <c r="A106" s="25" t="s">
        <v>95</v>
      </c>
      <c r="B106" s="12"/>
      <c r="C106" s="316">
        <v>98600</v>
      </c>
      <c r="D106" s="316">
        <v>98600</v>
      </c>
      <c r="E106" s="316">
        <v>98600</v>
      </c>
      <c r="F106" s="316">
        <v>98600</v>
      </c>
      <c r="G106" s="316">
        <v>98600</v>
      </c>
      <c r="H106" s="317">
        <v>98600</v>
      </c>
      <c r="I106" s="205">
        <f t="shared" si="29"/>
        <v>98600</v>
      </c>
      <c r="J106" s="205">
        <f t="shared" si="30"/>
        <v>591600</v>
      </c>
      <c r="L106" s="209"/>
      <c r="M106" s="268"/>
      <c r="R106" s="268"/>
    </row>
    <row r="107" spans="1:27" ht="13.15" customHeight="1" x14ac:dyDescent="0.3">
      <c r="A107" s="25" t="s">
        <v>56</v>
      </c>
      <c r="B107" s="12"/>
      <c r="C107" s="316">
        <v>415000</v>
      </c>
      <c r="D107" s="316">
        <v>415000</v>
      </c>
      <c r="E107" s="316">
        <v>415000</v>
      </c>
      <c r="F107" s="316">
        <v>415000</v>
      </c>
      <c r="G107" s="316">
        <v>415000</v>
      </c>
      <c r="H107" s="317">
        <v>415000</v>
      </c>
      <c r="I107" s="205">
        <f t="shared" si="29"/>
        <v>415000</v>
      </c>
      <c r="J107" s="205">
        <f t="shared" si="30"/>
        <v>2490000</v>
      </c>
      <c r="L107" s="209"/>
      <c r="M107" s="268"/>
      <c r="R107" s="268"/>
    </row>
    <row r="108" spans="1:27" ht="13.15" customHeight="1" x14ac:dyDescent="0.3">
      <c r="A108" s="25" t="s">
        <v>96</v>
      </c>
      <c r="B108" s="12"/>
      <c r="C108" s="316">
        <v>0</v>
      </c>
      <c r="D108" s="316">
        <v>0</v>
      </c>
      <c r="E108" s="316">
        <v>0</v>
      </c>
      <c r="F108" s="316">
        <v>0</v>
      </c>
      <c r="G108" s="316">
        <v>0</v>
      </c>
      <c r="H108" s="317">
        <v>0</v>
      </c>
      <c r="I108" s="205">
        <f t="shared" si="29"/>
        <v>0</v>
      </c>
      <c r="J108" s="205">
        <f t="shared" si="30"/>
        <v>0</v>
      </c>
      <c r="L108" s="209"/>
      <c r="M108" s="268"/>
      <c r="R108" s="268"/>
    </row>
    <row r="109" spans="1:27" ht="13.15" customHeight="1" x14ac:dyDescent="0.3">
      <c r="A109" s="637" t="s">
        <v>10</v>
      </c>
      <c r="B109" s="12"/>
      <c r="C109" s="639">
        <v>-80000</v>
      </c>
      <c r="D109" s="639">
        <v>-80000</v>
      </c>
      <c r="E109" s="639">
        <v>-80000</v>
      </c>
      <c r="F109" s="639">
        <v>-80000</v>
      </c>
      <c r="G109" s="639">
        <v>-80000</v>
      </c>
      <c r="H109" s="640">
        <v>-80000</v>
      </c>
      <c r="I109" s="205">
        <f t="shared" si="29"/>
        <v>-80000</v>
      </c>
      <c r="J109" s="205">
        <f t="shared" si="30"/>
        <v>-480000</v>
      </c>
      <c r="L109" s="209"/>
      <c r="M109" s="268"/>
      <c r="R109" s="268"/>
    </row>
    <row r="110" spans="1:27" ht="13.15" customHeight="1" x14ac:dyDescent="0.3">
      <c r="A110" s="25" t="s">
        <v>57</v>
      </c>
      <c r="B110" s="12"/>
      <c r="C110" s="316">
        <v>11434.154771429869</v>
      </c>
      <c r="D110" s="316">
        <v>11361.878678498235</v>
      </c>
      <c r="E110" s="316">
        <v>11315.050043751526</v>
      </c>
      <c r="F110" s="316">
        <v>11268.221409004816</v>
      </c>
      <c r="G110" s="316">
        <v>11408.707313244944</v>
      </c>
      <c r="H110" s="317">
        <v>11361.878678498235</v>
      </c>
      <c r="I110" s="205">
        <f t="shared" si="29"/>
        <v>11358.31514907127</v>
      </c>
      <c r="J110" s="205">
        <f t="shared" si="30"/>
        <v>68149.890894427619</v>
      </c>
      <c r="L110" s="209"/>
      <c r="M110" s="268"/>
      <c r="R110" s="268"/>
    </row>
    <row r="111" spans="1:27" ht="13.15" customHeight="1" x14ac:dyDescent="0.3">
      <c r="A111" s="50" t="s">
        <v>205</v>
      </c>
      <c r="B111" s="53"/>
      <c r="C111" s="357">
        <f>SUM(C112:C113)</f>
        <v>1737853.2595431292</v>
      </c>
      <c r="D111" s="293">
        <f t="shared" ref="D111:H111" si="31">SUM(D112:D113)</f>
        <v>1746314.7510139134</v>
      </c>
      <c r="E111" s="293">
        <f t="shared" si="31"/>
        <v>1754832.0447254928</v>
      </c>
      <c r="F111" s="293">
        <f t="shared" si="31"/>
        <v>1761672.363001429</v>
      </c>
      <c r="G111" s="293">
        <f t="shared" si="31"/>
        <v>1769855.0749769586</v>
      </c>
      <c r="H111" s="292">
        <f t="shared" si="31"/>
        <v>1783186.8680841578</v>
      </c>
      <c r="I111" s="54">
        <f t="shared" si="29"/>
        <v>1758952.3935575131</v>
      </c>
      <c r="J111" s="54">
        <f t="shared" si="30"/>
        <v>10553714.361345079</v>
      </c>
      <c r="L111" s="210"/>
      <c r="M111" s="268"/>
      <c r="R111" s="268"/>
    </row>
    <row r="112" spans="1:27" ht="13.15" customHeight="1" x14ac:dyDescent="0.3">
      <c r="A112" s="25" t="s">
        <v>109</v>
      </c>
      <c r="B112" s="12"/>
      <c r="C112" s="316">
        <v>300000</v>
      </c>
      <c r="D112" s="316">
        <v>300000</v>
      </c>
      <c r="E112" s="316">
        <v>300000</v>
      </c>
      <c r="F112" s="316">
        <v>300000</v>
      </c>
      <c r="G112" s="316">
        <v>300000</v>
      </c>
      <c r="H112" s="317">
        <v>300000</v>
      </c>
      <c r="I112" s="204">
        <f t="shared" si="29"/>
        <v>300000</v>
      </c>
      <c r="J112" s="204">
        <f t="shared" si="30"/>
        <v>1800000</v>
      </c>
      <c r="L112" s="209"/>
      <c r="M112" s="268"/>
      <c r="R112" s="268"/>
    </row>
    <row r="113" spans="1:27" ht="13.15" customHeight="1" x14ac:dyDescent="0.3">
      <c r="A113" s="25" t="s">
        <v>206</v>
      </c>
      <c r="B113" s="12"/>
      <c r="C113" s="608">
        <v>1437853.2595431292</v>
      </c>
      <c r="D113" s="608">
        <v>1446314.7510139134</v>
      </c>
      <c r="E113" s="608">
        <v>1454832.0447254928</v>
      </c>
      <c r="F113" s="608">
        <v>1461672.363001429</v>
      </c>
      <c r="G113" s="608">
        <v>1469855.0749769586</v>
      </c>
      <c r="H113" s="609">
        <v>1483186.8680841578</v>
      </c>
      <c r="I113" s="205">
        <f t="shared" si="29"/>
        <v>1458952.3935575131</v>
      </c>
      <c r="J113" s="205">
        <f t="shared" si="30"/>
        <v>8753714.3613450788</v>
      </c>
      <c r="L113" s="209"/>
      <c r="M113" s="268"/>
      <c r="R113" s="268"/>
    </row>
    <row r="114" spans="1:27" ht="13" x14ac:dyDescent="0.3">
      <c r="A114" s="18" t="s">
        <v>8</v>
      </c>
      <c r="B114" s="34"/>
      <c r="C114" s="19">
        <f t="shared" ref="C114:H114" si="32">C5+C24+C34+C40+C43+C49+C75+C86+C111</f>
        <v>20330265.318667926</v>
      </c>
      <c r="D114" s="19">
        <f t="shared" si="32"/>
        <v>20424285.831922811</v>
      </c>
      <c r="E114" s="19">
        <f t="shared" si="32"/>
        <v>20610786.690151781</v>
      </c>
      <c r="F114" s="19">
        <f t="shared" si="32"/>
        <v>20500528.339667711</v>
      </c>
      <c r="G114" s="19">
        <f t="shared" si="32"/>
        <v>20657930.865453564</v>
      </c>
      <c r="H114" s="35">
        <f t="shared" si="32"/>
        <v>20537286.718695771</v>
      </c>
      <c r="I114" s="35">
        <f t="shared" si="29"/>
        <v>20510180.627426591</v>
      </c>
      <c r="J114" s="207">
        <f t="shared" si="30"/>
        <v>123061083.76455955</v>
      </c>
      <c r="L114" s="210"/>
      <c r="M114" s="268"/>
      <c r="R114" s="268"/>
    </row>
    <row r="115" spans="1:27" ht="13.15" customHeight="1" x14ac:dyDescent="0.35">
      <c r="L115"/>
      <c r="M115" s="268"/>
      <c r="R115" s="268"/>
    </row>
    <row r="116" spans="1:27" ht="13.15" customHeight="1" x14ac:dyDescent="0.35">
      <c r="B116" s="11"/>
      <c r="C116" s="11"/>
      <c r="D116" s="11"/>
      <c r="E116" s="11"/>
      <c r="F116" s="11"/>
      <c r="G116" s="11"/>
      <c r="H116" s="11"/>
      <c r="L116"/>
      <c r="M116" s="268"/>
      <c r="R116" s="268"/>
    </row>
    <row r="117" spans="1:27" ht="13.15" customHeight="1" x14ac:dyDescent="0.35">
      <c r="C117" s="167"/>
      <c r="D117" s="167"/>
      <c r="E117" s="167"/>
      <c r="F117" s="167"/>
      <c r="G117" s="167"/>
      <c r="H117" s="167"/>
      <c r="I117" s="167"/>
      <c r="L117"/>
      <c r="M117" s="268"/>
      <c r="R117" s="268"/>
      <c r="S117" s="171"/>
      <c r="T117" s="171"/>
      <c r="U117" s="171"/>
      <c r="V117" s="171"/>
      <c r="W117" s="171"/>
      <c r="X117" s="171"/>
      <c r="Y117" s="171"/>
      <c r="Z117" s="171"/>
      <c r="AA117" s="171"/>
    </row>
    <row r="118" spans="1:27" ht="13.15" customHeight="1" x14ac:dyDescent="0.35">
      <c r="L118"/>
      <c r="M118" s="268"/>
      <c r="R118" s="268"/>
    </row>
    <row r="119" spans="1:27" ht="13.15" customHeight="1" x14ac:dyDescent="0.35">
      <c r="C119" s="13"/>
      <c r="D119" s="231"/>
      <c r="E119" s="231"/>
      <c r="F119" s="231"/>
      <c r="G119" s="231"/>
      <c r="H119" s="231"/>
      <c r="I119" s="13"/>
      <c r="L119"/>
      <c r="M119" s="268"/>
      <c r="R119" s="268"/>
    </row>
    <row r="120" spans="1:27" ht="13.15" customHeight="1" x14ac:dyDescent="0.35">
      <c r="C120" s="167"/>
      <c r="D120" s="232"/>
      <c r="E120" s="168"/>
      <c r="F120" s="168"/>
      <c r="G120" s="168"/>
      <c r="H120" s="168"/>
      <c r="I120" s="168"/>
      <c r="K120" s="168"/>
      <c r="L120"/>
      <c r="R120" s="268"/>
    </row>
    <row r="121" spans="1:27" ht="13.15" customHeight="1" x14ac:dyDescent="0.35">
      <c r="L121"/>
    </row>
    <row r="122" spans="1:27" ht="13.15" customHeight="1" x14ac:dyDescent="0.35">
      <c r="C122" s="11"/>
      <c r="D122" s="11"/>
      <c r="E122" s="11"/>
      <c r="F122" s="11"/>
      <c r="G122" s="11"/>
      <c r="H122" s="11"/>
      <c r="I122" s="11"/>
      <c r="J122" s="11"/>
      <c r="K122" s="11"/>
      <c r="L122"/>
    </row>
    <row r="123" spans="1:27" ht="13.15" customHeight="1" x14ac:dyDescent="0.35">
      <c r="D123" s="11"/>
      <c r="E123" s="11"/>
      <c r="F123" s="11"/>
      <c r="G123" s="11"/>
      <c r="H123" s="11"/>
      <c r="I123" s="11"/>
      <c r="K123" s="11"/>
      <c r="L123"/>
    </row>
    <row r="124" spans="1:27" ht="13.15" customHeight="1" x14ac:dyDescent="0.35">
      <c r="A124" s="171"/>
      <c r="D124" s="11"/>
      <c r="E124" s="11"/>
      <c r="F124" s="11"/>
      <c r="G124" s="11"/>
      <c r="H124" s="11"/>
      <c r="I124" s="11"/>
      <c r="K124" s="11"/>
      <c r="L124"/>
    </row>
    <row r="125" spans="1:27" ht="13.15" customHeight="1" x14ac:dyDescent="0.35">
      <c r="A125" s="171"/>
      <c r="D125" s="11"/>
      <c r="E125" s="11"/>
      <c r="F125" s="11"/>
      <c r="G125" s="11"/>
      <c r="H125" s="11"/>
      <c r="I125" s="11"/>
      <c r="K125" s="11"/>
      <c r="L125"/>
    </row>
    <row r="126" spans="1:27" ht="13.15" customHeight="1" x14ac:dyDescent="0.35">
      <c r="A126" s="171"/>
      <c r="D126" s="11"/>
      <c r="E126" s="11"/>
      <c r="F126" s="11"/>
      <c r="G126" s="11"/>
      <c r="H126" s="11"/>
      <c r="I126" s="11"/>
      <c r="K126" s="11"/>
      <c r="L126"/>
    </row>
    <row r="127" spans="1:27" ht="13.15" customHeight="1" x14ac:dyDescent="0.35">
      <c r="A127" s="171"/>
      <c r="D127" s="233"/>
      <c r="E127" s="233"/>
      <c r="F127" s="233"/>
      <c r="G127" s="233"/>
      <c r="H127" s="233"/>
      <c r="I127" s="11"/>
      <c r="K127" s="11"/>
      <c r="L127"/>
    </row>
    <row r="128" spans="1:27" ht="13.15" customHeight="1" x14ac:dyDescent="0.35">
      <c r="A128" s="171"/>
      <c r="D128" s="11"/>
      <c r="E128" s="11"/>
      <c r="F128" s="11"/>
      <c r="G128" s="11"/>
      <c r="H128" s="11"/>
      <c r="I128" s="11"/>
      <c r="K128" s="11"/>
      <c r="L128"/>
    </row>
    <row r="129" spans="1:12" ht="13.15" customHeight="1" x14ac:dyDescent="0.35">
      <c r="A129" s="171"/>
      <c r="D129" s="11"/>
      <c r="E129" s="11"/>
      <c r="F129" s="11"/>
      <c r="G129" s="11"/>
      <c r="H129" s="11"/>
      <c r="I129" s="11"/>
      <c r="K129" s="11"/>
      <c r="L129"/>
    </row>
    <row r="130" spans="1:12" ht="13.15" customHeight="1" x14ac:dyDescent="0.35">
      <c r="A130" s="171"/>
      <c r="D130" s="163"/>
      <c r="E130" s="163"/>
      <c r="F130" s="163"/>
      <c r="G130" s="163"/>
      <c r="H130" s="163"/>
      <c r="I130" s="11"/>
      <c r="K130" s="11"/>
      <c r="L130"/>
    </row>
    <row r="131" spans="1:12" ht="13.15" customHeight="1" x14ac:dyDescent="0.35">
      <c r="A131" s="171"/>
      <c r="D131" s="11"/>
      <c r="E131" s="11"/>
      <c r="F131" s="11"/>
      <c r="G131" s="11"/>
      <c r="H131" s="11"/>
      <c r="I131" s="11"/>
      <c r="K131" s="11"/>
      <c r="L131"/>
    </row>
    <row r="132" spans="1:12" ht="13.15" customHeight="1" x14ac:dyDescent="0.35">
      <c r="A132" s="171"/>
      <c r="D132" s="11"/>
      <c r="E132" s="11"/>
      <c r="F132" s="11"/>
      <c r="G132" s="11"/>
      <c r="H132" s="11"/>
      <c r="I132" s="11"/>
      <c r="K132" s="11"/>
      <c r="L132"/>
    </row>
    <row r="133" spans="1:12" ht="13.15" customHeight="1" x14ac:dyDescent="0.35">
      <c r="A133" s="171"/>
      <c r="D133" s="11"/>
      <c r="E133" s="11"/>
      <c r="F133" s="11"/>
      <c r="G133" s="11"/>
      <c r="H133" s="11"/>
      <c r="I133" s="11"/>
      <c r="K133" s="11"/>
      <c r="L133"/>
    </row>
    <row r="134" spans="1:12" ht="13.15" customHeight="1" x14ac:dyDescent="0.35">
      <c r="A134" s="171"/>
      <c r="D134" s="11"/>
      <c r="E134" s="11"/>
      <c r="F134" s="11"/>
      <c r="G134" s="11"/>
      <c r="H134" s="11"/>
      <c r="I134" s="11"/>
      <c r="K134" s="11"/>
      <c r="L134"/>
    </row>
    <row r="135" spans="1:12" ht="13.15" customHeight="1" x14ac:dyDescent="0.35">
      <c r="A135" s="171"/>
      <c r="D135" s="11"/>
      <c r="E135" s="11"/>
      <c r="F135" s="11"/>
      <c r="G135" s="11"/>
      <c r="H135" s="11"/>
      <c r="I135" s="11"/>
      <c r="K135" s="11"/>
      <c r="L135"/>
    </row>
    <row r="136" spans="1:12" ht="13.15" customHeight="1" x14ac:dyDescent="0.35">
      <c r="A136" s="171"/>
      <c r="B136" s="48"/>
      <c r="D136" s="11"/>
      <c r="E136" s="11"/>
      <c r="F136" s="11"/>
      <c r="G136" s="11"/>
      <c r="H136" s="11"/>
      <c r="I136" s="11"/>
      <c r="K136" s="11"/>
      <c r="L136"/>
    </row>
    <row r="137" spans="1:12" ht="13.15" customHeight="1" x14ac:dyDescent="0.35">
      <c r="A137" s="171"/>
      <c r="B137" s="58"/>
      <c r="D137" s="11"/>
      <c r="E137" s="11"/>
      <c r="F137" s="11"/>
      <c r="G137" s="11"/>
      <c r="H137" s="11"/>
      <c r="I137" s="11"/>
      <c r="K137" s="11"/>
      <c r="L137"/>
    </row>
    <row r="138" spans="1:12" ht="13.15" customHeight="1" x14ac:dyDescent="0.35">
      <c r="A138" s="171"/>
      <c r="D138" s="11"/>
      <c r="E138" s="11"/>
      <c r="F138" s="11"/>
      <c r="G138" s="11"/>
      <c r="H138" s="11"/>
      <c r="I138" s="11"/>
      <c r="K138" s="11"/>
      <c r="L138"/>
    </row>
    <row r="139" spans="1:12" ht="13.15" customHeight="1" x14ac:dyDescent="0.35">
      <c r="L139"/>
    </row>
    <row r="140" spans="1:12" ht="13.15" customHeight="1" x14ac:dyDescent="0.35">
      <c r="C140" s="11"/>
      <c r="D140" s="11"/>
      <c r="E140" s="11"/>
      <c r="F140" s="11"/>
      <c r="G140" s="11"/>
      <c r="H140" s="11"/>
      <c r="I140" s="11"/>
      <c r="K140" s="11"/>
      <c r="L140"/>
    </row>
    <row r="141" spans="1:12" ht="13.15" customHeight="1" x14ac:dyDescent="0.35">
      <c r="B141" s="170"/>
      <c r="L141"/>
    </row>
    <row r="142" spans="1:12" ht="13.15" customHeight="1" x14ac:dyDescent="0.35">
      <c r="D142" s="11"/>
      <c r="E142" s="11"/>
      <c r="L142"/>
    </row>
    <row r="143" spans="1:12" ht="13.15" customHeight="1" x14ac:dyDescent="0.35">
      <c r="L143"/>
    </row>
    <row r="144" spans="1:12" ht="13.15" customHeight="1" x14ac:dyDescent="0.35">
      <c r="L144"/>
    </row>
    <row r="145" spans="12:12" ht="13.15" customHeight="1" x14ac:dyDescent="0.35">
      <c r="L145"/>
    </row>
    <row r="146" spans="12:12" ht="13.15" customHeight="1" x14ac:dyDescent="0.35">
      <c r="L146"/>
    </row>
    <row r="147" spans="12:12" ht="13.15" customHeight="1" x14ac:dyDescent="0.35">
      <c r="L147"/>
    </row>
    <row r="148" spans="12:12" ht="13.15" customHeight="1" x14ac:dyDescent="0.35">
      <c r="L148"/>
    </row>
    <row r="149" spans="12:12" ht="13.15" customHeight="1" x14ac:dyDescent="0.35">
      <c r="L149"/>
    </row>
    <row r="150" spans="12:12" ht="13.15" customHeight="1" x14ac:dyDescent="0.35">
      <c r="L150"/>
    </row>
    <row r="151" spans="12:12" ht="13.15" customHeight="1" x14ac:dyDescent="0.35">
      <c r="L151"/>
    </row>
    <row r="152" spans="12:12" ht="13.15" customHeight="1" x14ac:dyDescent="0.35">
      <c r="L152"/>
    </row>
    <row r="153" spans="12:12" ht="13.15" customHeight="1" x14ac:dyDescent="0.35">
      <c r="L153"/>
    </row>
    <row r="154" spans="12:12" ht="13.15" customHeight="1" x14ac:dyDescent="0.35">
      <c r="L154"/>
    </row>
    <row r="155" spans="12:12" ht="13.15" customHeight="1" x14ac:dyDescent="0.35">
      <c r="L155"/>
    </row>
    <row r="156" spans="12:12" ht="13.15" customHeight="1" x14ac:dyDescent="0.35">
      <c r="L156"/>
    </row>
    <row r="157" spans="12:12" ht="13.15" customHeight="1" x14ac:dyDescent="0.35">
      <c r="L157"/>
    </row>
    <row r="158" spans="12:12" ht="13.15" customHeight="1" x14ac:dyDescent="0.35">
      <c r="L158"/>
    </row>
    <row r="159" spans="12:12" ht="13.15" customHeight="1" x14ac:dyDescent="0.35">
      <c r="L159"/>
    </row>
    <row r="160" spans="12:12" ht="13.15" customHeight="1" x14ac:dyDescent="0.35">
      <c r="L160"/>
    </row>
    <row r="161" spans="12:12" ht="13.15" customHeight="1" x14ac:dyDescent="0.35">
      <c r="L161"/>
    </row>
    <row r="162" spans="12:12" ht="13.15" customHeight="1" x14ac:dyDescent="0.35">
      <c r="L162"/>
    </row>
    <row r="163" spans="12:12" ht="13.15" customHeight="1" x14ac:dyDescent="0.35">
      <c r="L163"/>
    </row>
    <row r="164" spans="12:12" ht="13.15" customHeight="1" x14ac:dyDescent="0.35">
      <c r="L164"/>
    </row>
    <row r="165" spans="12:12" ht="13.15" customHeight="1" x14ac:dyDescent="0.35">
      <c r="L165"/>
    </row>
    <row r="166" spans="12:12" ht="13.15" customHeight="1" x14ac:dyDescent="0.35">
      <c r="L166"/>
    </row>
    <row r="167" spans="12:12" ht="13.15" customHeight="1" x14ac:dyDescent="0.35">
      <c r="L167"/>
    </row>
    <row r="168" spans="12:12" ht="13.15" customHeight="1" x14ac:dyDescent="0.35">
      <c r="L168"/>
    </row>
    <row r="169" spans="12:12" ht="13.15" customHeight="1" x14ac:dyDescent="0.35">
      <c r="L169"/>
    </row>
    <row r="170" spans="12:12" ht="13.15" customHeight="1" x14ac:dyDescent="0.35">
      <c r="L170"/>
    </row>
    <row r="171" spans="12:12" ht="13.15" customHeight="1" x14ac:dyDescent="0.35">
      <c r="L171"/>
    </row>
    <row r="172" spans="12:12" ht="13.15" customHeight="1" x14ac:dyDescent="0.35">
      <c r="L172"/>
    </row>
    <row r="173" spans="12:12" ht="13.15" customHeight="1" x14ac:dyDescent="0.35">
      <c r="L173"/>
    </row>
    <row r="174" spans="12:12" ht="13.15" customHeight="1" x14ac:dyDescent="0.35">
      <c r="L174"/>
    </row>
    <row r="175" spans="12:12" ht="13.15" customHeight="1" x14ac:dyDescent="0.35">
      <c r="L175"/>
    </row>
    <row r="176" spans="12:12" ht="13.15" customHeight="1" x14ac:dyDescent="0.35">
      <c r="L176"/>
    </row>
    <row r="177" spans="12:12" ht="13.15" customHeight="1" x14ac:dyDescent="0.35">
      <c r="L177"/>
    </row>
    <row r="178" spans="12:12" ht="13.15" customHeight="1" x14ac:dyDescent="0.35">
      <c r="L178"/>
    </row>
    <row r="179" spans="12:12" ht="13.15" customHeight="1" x14ac:dyDescent="0.35">
      <c r="L179"/>
    </row>
    <row r="180" spans="12:12" ht="13.15" customHeight="1" x14ac:dyDescent="0.35">
      <c r="L180"/>
    </row>
    <row r="181" spans="12:12" ht="13.15" customHeight="1" x14ac:dyDescent="0.35">
      <c r="L181"/>
    </row>
    <row r="182" spans="12:12" ht="13.15" customHeight="1" x14ac:dyDescent="0.35">
      <c r="L182"/>
    </row>
    <row r="183" spans="12:12" ht="13.15" customHeight="1" x14ac:dyDescent="0.35">
      <c r="L183"/>
    </row>
    <row r="184" spans="12:12" ht="13.15" customHeight="1" x14ac:dyDescent="0.35">
      <c r="L184"/>
    </row>
    <row r="185" spans="12:12" ht="13.15" customHeight="1" x14ac:dyDescent="0.35">
      <c r="L185"/>
    </row>
    <row r="186" spans="12:12" ht="13.15" customHeight="1" x14ac:dyDescent="0.35">
      <c r="L186"/>
    </row>
    <row r="187" spans="12:12" ht="13.15" customHeight="1" x14ac:dyDescent="0.35">
      <c r="L187"/>
    </row>
    <row r="188" spans="12:12" ht="13.15" customHeight="1" x14ac:dyDescent="0.35">
      <c r="L188"/>
    </row>
    <row r="189" spans="12:12" ht="13.15" customHeight="1" x14ac:dyDescent="0.35">
      <c r="L189"/>
    </row>
    <row r="190" spans="12:12" ht="13.15" customHeight="1" x14ac:dyDescent="0.35">
      <c r="L190"/>
    </row>
    <row r="191" spans="12:12" ht="13.15" customHeight="1" x14ac:dyDescent="0.35">
      <c r="L191"/>
    </row>
    <row r="192" spans="12:12" ht="13.15" customHeight="1" x14ac:dyDescent="0.35">
      <c r="L192"/>
    </row>
    <row r="193" spans="12:12" ht="13.15" customHeight="1" x14ac:dyDescent="0.35">
      <c r="L193"/>
    </row>
    <row r="194" spans="12:12" ht="13.15" customHeight="1" x14ac:dyDescent="0.35">
      <c r="L194"/>
    </row>
    <row r="195" spans="12:12" ht="13.15" customHeight="1" x14ac:dyDescent="0.35">
      <c r="L195"/>
    </row>
    <row r="196" spans="12:12" ht="13.15" customHeight="1" x14ac:dyDescent="0.35">
      <c r="L196"/>
    </row>
    <row r="197" spans="12:12" ht="13.15" customHeight="1" x14ac:dyDescent="0.35">
      <c r="L197"/>
    </row>
    <row r="198" spans="12:12" ht="13.15" customHeight="1" x14ac:dyDescent="0.35">
      <c r="L198"/>
    </row>
    <row r="199" spans="12:12" ht="13.15" customHeight="1" x14ac:dyDescent="0.35">
      <c r="L199"/>
    </row>
    <row r="200" spans="12:12" ht="13.15" customHeight="1" x14ac:dyDescent="0.35">
      <c r="L200"/>
    </row>
    <row r="201" spans="12:12" ht="13.15" customHeight="1" x14ac:dyDescent="0.35">
      <c r="L201"/>
    </row>
    <row r="202" spans="12:12" ht="13.15" customHeight="1" x14ac:dyDescent="0.35">
      <c r="L202"/>
    </row>
    <row r="203" spans="12:12" ht="13.15" customHeight="1" x14ac:dyDescent="0.35">
      <c r="L203"/>
    </row>
    <row r="204" spans="12:12" ht="13.15" customHeight="1" x14ac:dyDescent="0.35">
      <c r="L204"/>
    </row>
    <row r="205" spans="12:12" ht="13.15" customHeight="1" x14ac:dyDescent="0.35">
      <c r="L205"/>
    </row>
    <row r="206" spans="12:12" ht="13.15" customHeight="1" x14ac:dyDescent="0.35">
      <c r="L206"/>
    </row>
    <row r="207" spans="12:12" ht="13.15" customHeight="1" x14ac:dyDescent="0.35">
      <c r="L207"/>
    </row>
    <row r="208" spans="12:12" ht="13.15" customHeight="1" x14ac:dyDescent="0.35">
      <c r="L208"/>
    </row>
    <row r="209" spans="12:12" ht="13.15" customHeight="1" x14ac:dyDescent="0.35">
      <c r="L209"/>
    </row>
    <row r="210" spans="12:12" ht="13.15" customHeight="1" x14ac:dyDescent="0.35">
      <c r="L210"/>
    </row>
    <row r="211" spans="12:12" ht="13.15" customHeight="1" x14ac:dyDescent="0.35">
      <c r="L211"/>
    </row>
    <row r="212" spans="12:12" ht="13.15" customHeight="1" x14ac:dyDescent="0.35">
      <c r="L212"/>
    </row>
    <row r="213" spans="12:12" ht="13.15" customHeight="1" x14ac:dyDescent="0.35">
      <c r="L213"/>
    </row>
    <row r="214" spans="12:12" ht="13.15" customHeight="1" x14ac:dyDescent="0.35">
      <c r="L214"/>
    </row>
    <row r="215" spans="12:12" ht="13.15" customHeight="1" x14ac:dyDescent="0.35">
      <c r="L215"/>
    </row>
    <row r="216" spans="12:12" ht="13.15" customHeight="1" x14ac:dyDescent="0.35">
      <c r="L216"/>
    </row>
    <row r="217" spans="12:12" ht="13.15" customHeight="1" x14ac:dyDescent="0.35">
      <c r="L217"/>
    </row>
    <row r="218" spans="12:12" ht="13.15" customHeight="1" x14ac:dyDescent="0.35">
      <c r="L218"/>
    </row>
    <row r="219" spans="12:12" ht="13.15" customHeight="1" x14ac:dyDescent="0.35">
      <c r="L219"/>
    </row>
    <row r="220" spans="12:12" ht="13.15" customHeight="1" x14ac:dyDescent="0.35">
      <c r="L220"/>
    </row>
  </sheetData>
  <mergeCells count="4">
    <mergeCell ref="B3:B4"/>
    <mergeCell ref="A1:J1"/>
    <mergeCell ref="A3:A4"/>
    <mergeCell ref="L3:L4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fitToHeight="2" orientation="landscape" r:id="rId1"/>
  <headerFooter>
    <oddHeader>&amp;L&amp;F&amp;R&amp;A</oddHeader>
    <oddFooter>&amp;L&amp;D&amp;C&amp;P/&amp;N&amp;R&amp;T</oddFooter>
  </headerFooter>
  <rowBreaks count="1" manualBreakCount="1">
    <brk id="48" max="16383" man="1"/>
  </rowBreaks>
  <ignoredErrors>
    <ignoredError sqref="C86:H86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/>
  </sheetPr>
  <dimension ref="A1:AD93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1.26953125" defaultRowHeight="13" x14ac:dyDescent="0.3"/>
  <cols>
    <col min="1" max="1" width="39.54296875" style="2" bestFit="1" customWidth="1"/>
    <col min="2" max="10" width="13.1796875" style="2" customWidth="1"/>
    <col min="11" max="11" width="6.7265625" style="2" customWidth="1"/>
    <col min="12" max="12" width="20.26953125" style="2" bestFit="1" customWidth="1"/>
    <col min="13" max="13" width="11.7265625" style="2" bestFit="1" customWidth="1"/>
    <col min="14" max="14" width="11.54296875" style="2" bestFit="1" customWidth="1"/>
    <col min="15" max="15" width="12" style="2" bestFit="1" customWidth="1"/>
    <col min="16" max="16384" width="11.26953125" style="2"/>
  </cols>
  <sheetData>
    <row r="1" spans="1:15" ht="29.5" customHeight="1" x14ac:dyDescent="0.35">
      <c r="A1" s="680" t="s">
        <v>522</v>
      </c>
      <c r="B1" s="689"/>
      <c r="C1" s="689"/>
      <c r="D1" s="689"/>
      <c r="E1" s="689"/>
      <c r="F1" s="689"/>
      <c r="G1" s="689"/>
      <c r="H1" s="689"/>
      <c r="I1" s="689"/>
      <c r="J1" s="690"/>
      <c r="K1"/>
      <c r="L1"/>
      <c r="M1"/>
      <c r="N1"/>
      <c r="O1"/>
    </row>
    <row r="2" spans="1:15" ht="14.5" x14ac:dyDescent="0.35">
      <c r="K2"/>
      <c r="L2"/>
      <c r="M2"/>
      <c r="N2"/>
      <c r="O2"/>
    </row>
    <row r="3" spans="1:15" ht="14.5" x14ac:dyDescent="0.35">
      <c r="A3" s="42" t="s">
        <v>74</v>
      </c>
      <c r="B3" s="43"/>
      <c r="C3" s="44"/>
      <c r="D3" s="44"/>
      <c r="E3" s="44"/>
      <c r="F3" s="44"/>
      <c r="G3" s="44"/>
      <c r="H3" s="44"/>
      <c r="I3" s="44"/>
      <c r="J3" s="44"/>
      <c r="K3"/>
      <c r="L3"/>
    </row>
    <row r="4" spans="1:15" customFormat="1" ht="14.5" x14ac:dyDescent="0.35"/>
    <row r="5" spans="1:15" ht="26" x14ac:dyDescent="0.3">
      <c r="A5" s="63" t="s">
        <v>102</v>
      </c>
      <c r="B5" s="66" t="s">
        <v>18</v>
      </c>
      <c r="C5" s="378" t="s">
        <v>19</v>
      </c>
      <c r="D5" s="67" t="s">
        <v>20</v>
      </c>
    </row>
    <row r="6" spans="1:15" s="5" customFormat="1" x14ac:dyDescent="0.3">
      <c r="A6" s="115" t="s">
        <v>58</v>
      </c>
      <c r="B6" s="392">
        <f>IFERROR(AVERAGE(B7:B12),"-")</f>
        <v>24.728966332306101</v>
      </c>
      <c r="C6" s="393">
        <f>IFERROR(AVERAGE(C7:C12),"-")</f>
        <v>0.45912249136004052</v>
      </c>
      <c r="D6" s="394">
        <f>IFERROR(B6*(1+C6),"-")</f>
        <v>36.082590963553038</v>
      </c>
    </row>
    <row r="7" spans="1:15" x14ac:dyDescent="0.3">
      <c r="A7" s="30" t="s">
        <v>287</v>
      </c>
      <c r="B7" s="395">
        <v>31.298732706777894</v>
      </c>
      <c r="C7" s="396">
        <v>0.48237146607623493</v>
      </c>
      <c r="D7" s="399">
        <f t="shared" ref="D7:D26" si="0">IFERROR(B7*(1+C7),"-")</f>
        <v>46.396348288874556</v>
      </c>
      <c r="F7" s="11"/>
      <c r="H7" s="11"/>
      <c r="I7" s="11"/>
      <c r="K7" s="11"/>
    </row>
    <row r="8" spans="1:15" x14ac:dyDescent="0.3">
      <c r="A8" s="30" t="s">
        <v>285</v>
      </c>
      <c r="B8" s="395">
        <v>23.908756672706613</v>
      </c>
      <c r="C8" s="396">
        <v>0.43984208966087401</v>
      </c>
      <c r="D8" s="399">
        <f t="shared" si="0"/>
        <v>34.424834168823253</v>
      </c>
      <c r="F8" s="11"/>
      <c r="H8" s="11"/>
      <c r="I8" s="11"/>
      <c r="K8" s="11"/>
    </row>
    <row r="9" spans="1:15" x14ac:dyDescent="0.3">
      <c r="A9" s="30" t="s">
        <v>286</v>
      </c>
      <c r="B9" s="395">
        <v>21.121823159628793</v>
      </c>
      <c r="C9" s="396">
        <v>0.47027039486411698</v>
      </c>
      <c r="D9" s="399">
        <f t="shared" si="0"/>
        <v>31.054791277157474</v>
      </c>
      <c r="F9" s="11"/>
      <c r="H9" s="11"/>
      <c r="I9" s="11"/>
      <c r="K9" s="11"/>
    </row>
    <row r="10" spans="1:15" x14ac:dyDescent="0.3">
      <c r="A10" s="30" t="s">
        <v>283</v>
      </c>
      <c r="B10" s="395">
        <v>28.396157038843807</v>
      </c>
      <c r="C10" s="396">
        <v>0.4795528725687892</v>
      </c>
      <c r="D10" s="399">
        <f t="shared" si="0"/>
        <v>42.013615716735799</v>
      </c>
      <c r="F10" s="11"/>
      <c r="H10" s="11"/>
      <c r="I10" s="11"/>
      <c r="K10" s="11"/>
    </row>
    <row r="11" spans="1:15" x14ac:dyDescent="0.3">
      <c r="A11" s="30" t="s">
        <v>284</v>
      </c>
      <c r="B11" s="395">
        <v>21.981339534941498</v>
      </c>
      <c r="C11" s="396">
        <v>0.45540480925221399</v>
      </c>
      <c r="D11" s="399">
        <f t="shared" si="0"/>
        <v>31.991747272959682</v>
      </c>
      <c r="F11" s="11"/>
      <c r="H11" s="11"/>
      <c r="I11" s="11"/>
      <c r="K11" s="11"/>
    </row>
    <row r="12" spans="1:15" x14ac:dyDescent="0.3">
      <c r="A12" s="30" t="s">
        <v>288</v>
      </c>
      <c r="B12" s="395">
        <v>21.666988880938007</v>
      </c>
      <c r="C12" s="396">
        <v>0.42729331573801427</v>
      </c>
      <c r="D12" s="399">
        <f t="shared" si="0"/>
        <v>30.925148401932695</v>
      </c>
      <c r="F12" s="11"/>
      <c r="H12" s="11"/>
      <c r="I12" s="11"/>
      <c r="K12" s="11"/>
    </row>
    <row r="13" spans="1:15" s="5" customFormat="1" x14ac:dyDescent="0.3">
      <c r="A13" s="115" t="s">
        <v>59</v>
      </c>
      <c r="B13" s="392">
        <f>IFERROR(AVERAGE(B14:B16),"-")</f>
        <v>29.249987582470478</v>
      </c>
      <c r="C13" s="393">
        <f>IFERROR(AVERAGE(C14:C16),"-")</f>
        <v>0.47244371904667887</v>
      </c>
      <c r="D13" s="394">
        <f t="shared" si="0"/>
        <v>43.068960498002006</v>
      </c>
    </row>
    <row r="14" spans="1:15" x14ac:dyDescent="0.3">
      <c r="A14" s="30" t="s">
        <v>281</v>
      </c>
      <c r="B14" s="395">
        <v>29.03388812820705</v>
      </c>
      <c r="C14" s="396">
        <v>0.47247212464114818</v>
      </c>
      <c r="D14" s="399">
        <f t="shared" si="0"/>
        <v>42.751590938734445</v>
      </c>
      <c r="F14" s="11"/>
      <c r="H14" s="11"/>
      <c r="I14" s="11"/>
      <c r="K14" s="11"/>
    </row>
    <row r="15" spans="1:15" x14ac:dyDescent="0.3">
      <c r="A15" s="30" t="s">
        <v>280</v>
      </c>
      <c r="B15" s="395">
        <v>28.908680708774497</v>
      </c>
      <c r="C15" s="396">
        <v>0.47680262745204222</v>
      </c>
      <c r="D15" s="399">
        <f t="shared" si="0"/>
        <v>42.692415626890345</v>
      </c>
      <c r="F15" s="11"/>
      <c r="H15" s="11"/>
      <c r="I15" s="11"/>
      <c r="K15" s="11"/>
    </row>
    <row r="16" spans="1:15" x14ac:dyDescent="0.3">
      <c r="A16" s="30" t="s">
        <v>282</v>
      </c>
      <c r="B16" s="395">
        <v>29.807393910429884</v>
      </c>
      <c r="C16" s="396">
        <v>0.46805640504684626</v>
      </c>
      <c r="D16" s="399">
        <f t="shared" si="0"/>
        <v>43.758935547960952</v>
      </c>
      <c r="F16" s="11"/>
      <c r="H16" s="11"/>
      <c r="I16" s="11"/>
      <c r="K16" s="11"/>
    </row>
    <row r="17" spans="1:16" s="5" customFormat="1" x14ac:dyDescent="0.3">
      <c r="A17" s="115" t="s">
        <v>60</v>
      </c>
      <c r="B17" s="392">
        <f t="shared" ref="B17:C17" si="1">IFERROR(AVERAGE(B18:B24),"-")</f>
        <v>21.993041852214322</v>
      </c>
      <c r="C17" s="393">
        <f t="shared" si="1"/>
        <v>0.25482201028368817</v>
      </c>
      <c r="D17" s="394">
        <f t="shared" si="0"/>
        <v>27.597352989248865</v>
      </c>
    </row>
    <row r="18" spans="1:16" x14ac:dyDescent="0.3">
      <c r="A18" s="30" t="s">
        <v>276</v>
      </c>
      <c r="B18" s="395">
        <v>24.63702786772328</v>
      </c>
      <c r="C18" s="396">
        <v>0.43709398244822301</v>
      </c>
      <c r="D18" s="399">
        <f t="shared" si="0"/>
        <v>35.405724494114295</v>
      </c>
      <c r="F18" s="11"/>
      <c r="H18" s="11"/>
      <c r="I18" s="11"/>
      <c r="K18" s="11"/>
    </row>
    <row r="19" spans="1:16" x14ac:dyDescent="0.3">
      <c r="A19" s="30" t="s">
        <v>277</v>
      </c>
      <c r="B19" s="395">
        <v>29.207033817898637</v>
      </c>
      <c r="C19" s="396">
        <v>0.47247212464114824</v>
      </c>
      <c r="D19" s="399">
        <f t="shared" si="0"/>
        <v>43.006543140307073</v>
      </c>
      <c r="F19" s="11"/>
      <c r="H19" s="11"/>
      <c r="I19" s="11"/>
      <c r="K19" s="11"/>
    </row>
    <row r="20" spans="1:16" x14ac:dyDescent="0.3">
      <c r="A20" s="30" t="s">
        <v>278</v>
      </c>
      <c r="B20" s="395">
        <v>18.21278045098758</v>
      </c>
      <c r="C20" s="396">
        <v>0.43709398244822301</v>
      </c>
      <c r="D20" s="399">
        <f t="shared" si="0"/>
        <v>26.173477189764885</v>
      </c>
      <c r="F20" s="11"/>
      <c r="H20" s="11"/>
      <c r="I20" s="11"/>
      <c r="K20" s="11"/>
    </row>
    <row r="21" spans="1:16" x14ac:dyDescent="0.3">
      <c r="A21" s="30" t="s">
        <v>279</v>
      </c>
      <c r="B21" s="395">
        <v>15.915325272247788</v>
      </c>
      <c r="C21" s="396">
        <v>0.43709398244822301</v>
      </c>
      <c r="D21" s="399">
        <f t="shared" si="0"/>
        <v>22.87181817745342</v>
      </c>
      <c r="F21" s="11"/>
      <c r="H21" s="11"/>
      <c r="I21" s="11"/>
      <c r="K21" s="11"/>
    </row>
    <row r="22" spans="1:16" x14ac:dyDescent="0.3">
      <c r="A22" s="30" t="s">
        <v>331</v>
      </c>
      <c r="B22" s="395"/>
      <c r="C22" s="396">
        <v>0</v>
      </c>
      <c r="D22" s="399">
        <f t="shared" si="0"/>
        <v>0</v>
      </c>
      <c r="F22" s="11"/>
      <c r="H22" s="11"/>
      <c r="I22" s="11"/>
      <c r="K22" s="11"/>
    </row>
    <row r="23" spans="1:16" x14ac:dyDescent="0.3">
      <c r="A23" s="30" t="s">
        <v>467</v>
      </c>
      <c r="B23" s="395"/>
      <c r="C23" s="396">
        <v>0</v>
      </c>
      <c r="D23" s="399">
        <f t="shared" ref="D23" si="2">IFERROR(B23*(1+C23),"-")</f>
        <v>0</v>
      </c>
      <c r="F23" s="11"/>
      <c r="H23" s="11"/>
      <c r="I23" s="11"/>
      <c r="K23" s="11"/>
    </row>
    <row r="24" spans="1:16" x14ac:dyDescent="0.3">
      <c r="A24" s="91" t="s">
        <v>376</v>
      </c>
      <c r="B24" s="395"/>
      <c r="C24" s="396">
        <v>0</v>
      </c>
      <c r="D24" s="399">
        <f t="shared" si="0"/>
        <v>0</v>
      </c>
      <c r="F24" s="11"/>
      <c r="H24" s="11"/>
      <c r="I24" s="11"/>
      <c r="K24" s="11"/>
    </row>
    <row r="25" spans="1:16" x14ac:dyDescent="0.3">
      <c r="A25" s="115" t="s">
        <v>129</v>
      </c>
      <c r="B25" s="397">
        <v>253.16732394075416</v>
      </c>
      <c r="C25" s="398">
        <v>0.51</v>
      </c>
      <c r="D25" s="400">
        <f t="shared" si="0"/>
        <v>382.28265915053879</v>
      </c>
      <c r="F25" s="11"/>
      <c r="H25" s="11"/>
      <c r="I25" s="11"/>
      <c r="K25" s="11"/>
    </row>
    <row r="26" spans="1:16" x14ac:dyDescent="0.3">
      <c r="A26" s="18" t="s">
        <v>24</v>
      </c>
      <c r="B26" s="389">
        <f>IFERROR(AVERAGE(B7:B12,B14:B16,B18:B25),"-")</f>
        <v>41.233089435061395</v>
      </c>
      <c r="C26" s="390">
        <f>IFERROR(AVERAGE(C7:C12,C14:C16,C18:C25),"-")</f>
        <v>0.3803423633697704</v>
      </c>
      <c r="D26" s="391">
        <f t="shared" si="0"/>
        <v>56.915780119829762</v>
      </c>
      <c r="K26" s="11"/>
      <c r="P26" s="11"/>
    </row>
    <row r="27" spans="1:16" x14ac:dyDescent="0.3">
      <c r="K27" s="11"/>
    </row>
    <row r="28" spans="1:16" ht="26" x14ac:dyDescent="0.35">
      <c r="A28" s="693" t="s">
        <v>78</v>
      </c>
      <c r="B28" s="678"/>
      <c r="C28" s="291">
        <f>Annee</f>
        <v>2024</v>
      </c>
      <c r="D28" s="291">
        <f>C28+1</f>
        <v>2025</v>
      </c>
      <c r="E28" s="291">
        <f t="shared" ref="E28:G28" si="3">D28+1</f>
        <v>2026</v>
      </c>
      <c r="F28" s="291">
        <f t="shared" si="3"/>
        <v>2027</v>
      </c>
      <c r="G28" s="291">
        <f t="shared" si="3"/>
        <v>2028</v>
      </c>
      <c r="H28" s="295">
        <f>G28+1</f>
        <v>2029</v>
      </c>
      <c r="I28" s="179" t="s">
        <v>271</v>
      </c>
      <c r="J28" s="4" t="s">
        <v>62</v>
      </c>
      <c r="K28" s="11"/>
      <c r="L28"/>
      <c r="M28" s="31"/>
    </row>
    <row r="29" spans="1:16" ht="14.5" x14ac:dyDescent="0.35">
      <c r="A29" s="692"/>
      <c r="B29" s="679"/>
      <c r="C29" s="77">
        <v>12</v>
      </c>
      <c r="D29" s="77">
        <v>12</v>
      </c>
      <c r="E29" s="77">
        <v>12</v>
      </c>
      <c r="F29" s="77">
        <v>12</v>
      </c>
      <c r="G29" s="77">
        <v>12</v>
      </c>
      <c r="H29" s="77">
        <v>12</v>
      </c>
      <c r="I29" s="78">
        <f t="shared" ref="I29:I50" si="4">IFERROR(AVERAGE(C29:H29),0)</f>
        <v>12</v>
      </c>
      <c r="J29" s="78">
        <f t="shared" ref="J29:J50" si="5">SUM(C29:H29)</f>
        <v>72</v>
      </c>
      <c r="K29" s="11"/>
      <c r="L29"/>
    </row>
    <row r="30" spans="1:16" s="5" customFormat="1" ht="14.5" x14ac:dyDescent="0.35">
      <c r="A30" s="115" t="s">
        <v>58</v>
      </c>
      <c r="B30" s="53"/>
      <c r="C30" s="379">
        <f>SUM(C31:C36)</f>
        <v>91.715464480874317</v>
      </c>
      <c r="D30" s="380">
        <f t="shared" ref="D30:H30" si="6">SUM(D31:D36)</f>
        <v>91.712493150684935</v>
      </c>
      <c r="E30" s="380">
        <f t="shared" si="6"/>
        <v>91.718219178082194</v>
      </c>
      <c r="F30" s="380">
        <f t="shared" si="6"/>
        <v>91.712739726027394</v>
      </c>
      <c r="G30" s="380">
        <f t="shared" si="6"/>
        <v>91.720928961748626</v>
      </c>
      <c r="H30" s="381">
        <f t="shared" si="6"/>
        <v>91.715479452054794</v>
      </c>
      <c r="I30" s="382">
        <f t="shared" si="4"/>
        <v>91.715887491578712</v>
      </c>
      <c r="J30" s="382">
        <f t="shared" si="5"/>
        <v>550.29532494947227</v>
      </c>
      <c r="K30" s="11"/>
      <c r="L30"/>
    </row>
    <row r="31" spans="1:16" ht="14.5" x14ac:dyDescent="0.35">
      <c r="A31" s="30" t="s">
        <v>287</v>
      </c>
      <c r="B31" s="71"/>
      <c r="C31" s="401">
        <v>25.912732240437158</v>
      </c>
      <c r="D31" s="402">
        <v>25.912493150684934</v>
      </c>
      <c r="E31" s="402">
        <v>25.912739726027397</v>
      </c>
      <c r="F31" s="402">
        <v>25.91</v>
      </c>
      <c r="G31" s="402">
        <v>25.91</v>
      </c>
      <c r="H31" s="403">
        <v>25.91</v>
      </c>
      <c r="I31" s="213">
        <f t="shared" si="4"/>
        <v>25.911327519524914</v>
      </c>
      <c r="J31" s="213">
        <f t="shared" si="5"/>
        <v>155.46796511714948</v>
      </c>
      <c r="K31" s="11"/>
      <c r="L31"/>
    </row>
    <row r="32" spans="1:16" ht="14.5" x14ac:dyDescent="0.35">
      <c r="A32" s="30" t="s">
        <v>285</v>
      </c>
      <c r="B32" s="71"/>
      <c r="C32" s="401">
        <v>25</v>
      </c>
      <c r="D32" s="402">
        <v>25</v>
      </c>
      <c r="E32" s="402">
        <v>25.002739726027396</v>
      </c>
      <c r="F32" s="402">
        <v>25.002739726027396</v>
      </c>
      <c r="G32" s="402">
        <v>25.005464480874316</v>
      </c>
      <c r="H32" s="403">
        <v>25.0027397260274</v>
      </c>
      <c r="I32" s="213">
        <f t="shared" si="4"/>
        <v>25.002280609826084</v>
      </c>
      <c r="J32" s="213">
        <f t="shared" si="5"/>
        <v>150.0136836589565</v>
      </c>
      <c r="K32" s="11"/>
      <c r="L32"/>
    </row>
    <row r="33" spans="1:30" ht="14.5" x14ac:dyDescent="0.35">
      <c r="A33" s="30" t="s">
        <v>286</v>
      </c>
      <c r="B33" s="71"/>
      <c r="C33" s="401">
        <v>20.8</v>
      </c>
      <c r="D33" s="402">
        <v>20.8</v>
      </c>
      <c r="E33" s="402">
        <v>20.8</v>
      </c>
      <c r="F33" s="402">
        <v>20.8</v>
      </c>
      <c r="G33" s="402">
        <v>20.802732240437159</v>
      </c>
      <c r="H33" s="403">
        <v>20.8</v>
      </c>
      <c r="I33" s="213">
        <f t="shared" si="4"/>
        <v>20.800455373406191</v>
      </c>
      <c r="J33" s="213">
        <f t="shared" si="5"/>
        <v>124.80273224043715</v>
      </c>
      <c r="K33" s="11"/>
      <c r="L33"/>
    </row>
    <row r="34" spans="1:30" ht="14.5" x14ac:dyDescent="0.35">
      <c r="A34" s="30" t="s">
        <v>283</v>
      </c>
      <c r="B34" s="71"/>
      <c r="C34" s="401">
        <v>7</v>
      </c>
      <c r="D34" s="402">
        <v>7</v>
      </c>
      <c r="E34" s="402">
        <v>7</v>
      </c>
      <c r="F34" s="402">
        <v>7</v>
      </c>
      <c r="G34" s="402">
        <v>7</v>
      </c>
      <c r="H34" s="403">
        <v>7</v>
      </c>
      <c r="I34" s="213">
        <f t="shared" si="4"/>
        <v>7</v>
      </c>
      <c r="J34" s="213">
        <f t="shared" si="5"/>
        <v>42</v>
      </c>
      <c r="K34" s="11"/>
      <c r="L34"/>
    </row>
    <row r="35" spans="1:30" ht="14.5" x14ac:dyDescent="0.35">
      <c r="A35" s="30" t="s">
        <v>284</v>
      </c>
      <c r="B35" s="71"/>
      <c r="C35" s="401">
        <v>4</v>
      </c>
      <c r="D35" s="402">
        <v>4</v>
      </c>
      <c r="E35" s="402">
        <v>4</v>
      </c>
      <c r="F35" s="402">
        <v>4</v>
      </c>
      <c r="G35" s="402">
        <v>4</v>
      </c>
      <c r="H35" s="403">
        <v>4</v>
      </c>
      <c r="I35" s="213">
        <f t="shared" si="4"/>
        <v>4</v>
      </c>
      <c r="J35" s="213">
        <f t="shared" si="5"/>
        <v>24</v>
      </c>
      <c r="K35" s="11"/>
      <c r="L35"/>
    </row>
    <row r="36" spans="1:30" x14ac:dyDescent="0.3">
      <c r="A36" s="30" t="s">
        <v>288</v>
      </c>
      <c r="B36" s="71"/>
      <c r="C36" s="401">
        <v>9.0027322404371581</v>
      </c>
      <c r="D36" s="402">
        <v>9</v>
      </c>
      <c r="E36" s="402">
        <v>9.0027397260273965</v>
      </c>
      <c r="F36" s="402">
        <v>9</v>
      </c>
      <c r="G36" s="402">
        <v>9.0027322404371581</v>
      </c>
      <c r="H36" s="403">
        <v>9.0027397260273965</v>
      </c>
      <c r="I36" s="213">
        <f t="shared" si="4"/>
        <v>9.0018239888215188</v>
      </c>
      <c r="J36" s="213">
        <f t="shared" si="5"/>
        <v>54.010943932929109</v>
      </c>
      <c r="K36" s="11"/>
    </row>
    <row r="37" spans="1:30" s="5" customFormat="1" ht="14.5" x14ac:dyDescent="0.35">
      <c r="A37" s="50" t="s">
        <v>59</v>
      </c>
      <c r="B37" s="53"/>
      <c r="C37" s="379">
        <f>SUM(C38:C40)</f>
        <v>15.802732240437159</v>
      </c>
      <c r="D37" s="380">
        <f t="shared" ref="D37:H37" si="7">SUM(D38:D40)</f>
        <v>15.802739726027397</v>
      </c>
      <c r="E37" s="380">
        <f t="shared" si="7"/>
        <v>15.8</v>
      </c>
      <c r="F37" s="380">
        <f t="shared" si="7"/>
        <v>15.8</v>
      </c>
      <c r="G37" s="380">
        <f t="shared" si="7"/>
        <v>15.8</v>
      </c>
      <c r="H37" s="381">
        <f t="shared" si="7"/>
        <v>15.802739726027397</v>
      </c>
      <c r="I37" s="382">
        <f t="shared" si="4"/>
        <v>15.801368615415326</v>
      </c>
      <c r="J37" s="382">
        <f t="shared" si="5"/>
        <v>94.808211692491952</v>
      </c>
      <c r="K37" s="11"/>
      <c r="L3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4.5" x14ac:dyDescent="0.35">
      <c r="A38" s="30" t="s">
        <v>281</v>
      </c>
      <c r="B38" s="71"/>
      <c r="C38" s="401">
        <v>0.8</v>
      </c>
      <c r="D38" s="402">
        <v>0.8</v>
      </c>
      <c r="E38" s="402">
        <v>0.8</v>
      </c>
      <c r="F38" s="402">
        <v>0.8</v>
      </c>
      <c r="G38" s="402">
        <v>0.8</v>
      </c>
      <c r="H38" s="403">
        <v>0.8</v>
      </c>
      <c r="I38" s="213">
        <f t="shared" si="4"/>
        <v>0.79999999999999993</v>
      </c>
      <c r="J38" s="213">
        <f t="shared" si="5"/>
        <v>4.8</v>
      </c>
      <c r="K38" s="11"/>
      <c r="L38"/>
    </row>
    <row r="39" spans="1:30" ht="14.5" x14ac:dyDescent="0.35">
      <c r="A39" s="30" t="s">
        <v>280</v>
      </c>
      <c r="B39" s="71"/>
      <c r="C39" s="401">
        <v>7.0027322404371581</v>
      </c>
      <c r="D39" s="402">
        <v>7</v>
      </c>
      <c r="E39" s="402">
        <v>7</v>
      </c>
      <c r="F39" s="402">
        <v>7</v>
      </c>
      <c r="G39" s="402">
        <v>7</v>
      </c>
      <c r="H39" s="403">
        <v>7</v>
      </c>
      <c r="I39" s="213">
        <f t="shared" si="4"/>
        <v>7.0004553734061927</v>
      </c>
      <c r="J39" s="213">
        <f t="shared" si="5"/>
        <v>42.002732240437155</v>
      </c>
      <c r="K39" s="11"/>
      <c r="L39"/>
    </row>
    <row r="40" spans="1:30" ht="14.5" x14ac:dyDescent="0.35">
      <c r="A40" s="30" t="s">
        <v>282</v>
      </c>
      <c r="B40" s="71"/>
      <c r="C40" s="401">
        <v>8</v>
      </c>
      <c r="D40" s="402">
        <v>8.0027397260273965</v>
      </c>
      <c r="E40" s="402">
        <v>8</v>
      </c>
      <c r="F40" s="402">
        <v>8</v>
      </c>
      <c r="G40" s="402">
        <v>8</v>
      </c>
      <c r="H40" s="403">
        <v>8.0027397260273965</v>
      </c>
      <c r="I40" s="213">
        <f t="shared" si="4"/>
        <v>8.0009132420091333</v>
      </c>
      <c r="J40" s="213">
        <f t="shared" si="5"/>
        <v>48.0054794520548</v>
      </c>
      <c r="K40" s="11"/>
      <c r="L40"/>
    </row>
    <row r="41" spans="1:30" ht="14.5" x14ac:dyDescent="0.35">
      <c r="A41" s="50" t="s">
        <v>60</v>
      </c>
      <c r="B41" s="53"/>
      <c r="C41" s="379">
        <f>SUM(C42:C48)</f>
        <v>44.709562841530051</v>
      </c>
      <c r="D41" s="380">
        <f t="shared" ref="D41:H41" si="8">SUM(D42:D48)</f>
        <v>44.7</v>
      </c>
      <c r="E41" s="380">
        <f t="shared" si="8"/>
        <v>44.702739726027396</v>
      </c>
      <c r="F41" s="380">
        <f t="shared" si="8"/>
        <v>44.7</v>
      </c>
      <c r="G41" s="380">
        <f t="shared" si="8"/>
        <v>44.7</v>
      </c>
      <c r="H41" s="381">
        <f t="shared" si="8"/>
        <v>44.705479452054796</v>
      </c>
      <c r="I41" s="382">
        <f t="shared" si="4"/>
        <v>44.702963669935379</v>
      </c>
      <c r="J41" s="382">
        <f t="shared" si="5"/>
        <v>268.21778201961229</v>
      </c>
      <c r="K41" s="11"/>
      <c r="L41"/>
    </row>
    <row r="42" spans="1:30" ht="14.5" x14ac:dyDescent="0.35">
      <c r="A42" s="30" t="s">
        <v>276</v>
      </c>
      <c r="B42" s="71"/>
      <c r="C42" s="401">
        <v>24.704098360655735</v>
      </c>
      <c r="D42" s="402">
        <v>24.7</v>
      </c>
      <c r="E42" s="402">
        <v>24.702739726027396</v>
      </c>
      <c r="F42" s="402">
        <v>24.7</v>
      </c>
      <c r="G42" s="402">
        <v>24.7</v>
      </c>
      <c r="H42" s="403">
        <v>24.705479452054796</v>
      </c>
      <c r="I42" s="213">
        <f t="shared" si="4"/>
        <v>24.702052923122988</v>
      </c>
      <c r="J42" s="213">
        <f t="shared" si="5"/>
        <v>148.21231753873792</v>
      </c>
      <c r="K42" s="11"/>
      <c r="L42"/>
    </row>
    <row r="43" spans="1:30" s="5" customFormat="1" ht="14.5" x14ac:dyDescent="0.35">
      <c r="A43" s="30" t="s">
        <v>277</v>
      </c>
      <c r="B43" s="72"/>
      <c r="C43" s="401">
        <v>3</v>
      </c>
      <c r="D43" s="402">
        <v>3</v>
      </c>
      <c r="E43" s="402">
        <v>3</v>
      </c>
      <c r="F43" s="402">
        <v>3</v>
      </c>
      <c r="G43" s="402">
        <v>3</v>
      </c>
      <c r="H43" s="403">
        <v>3</v>
      </c>
      <c r="I43" s="213">
        <f t="shared" si="4"/>
        <v>3</v>
      </c>
      <c r="J43" s="213">
        <f t="shared" si="5"/>
        <v>18</v>
      </c>
      <c r="K43" s="11"/>
      <c r="L4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4.5" x14ac:dyDescent="0.35">
      <c r="A44" s="30" t="s">
        <v>278</v>
      </c>
      <c r="B44" s="71"/>
      <c r="C44" s="401">
        <v>7.0054644808743163</v>
      </c>
      <c r="D44" s="402">
        <v>7</v>
      </c>
      <c r="E44" s="402">
        <v>7</v>
      </c>
      <c r="F44" s="402">
        <v>7</v>
      </c>
      <c r="G44" s="402">
        <v>7</v>
      </c>
      <c r="H44" s="403">
        <v>7</v>
      </c>
      <c r="I44" s="213">
        <f t="shared" si="4"/>
        <v>7.0009107468123863</v>
      </c>
      <c r="J44" s="213">
        <f t="shared" si="5"/>
        <v>42.005464480874316</v>
      </c>
      <c r="K44" s="11"/>
      <c r="L44"/>
    </row>
    <row r="45" spans="1:30" ht="14.5" x14ac:dyDescent="0.35">
      <c r="A45" s="30" t="s">
        <v>279</v>
      </c>
      <c r="B45" s="71"/>
      <c r="C45" s="401">
        <v>10</v>
      </c>
      <c r="D45" s="402">
        <v>10</v>
      </c>
      <c r="E45" s="402">
        <v>10</v>
      </c>
      <c r="F45" s="402">
        <v>10</v>
      </c>
      <c r="G45" s="402">
        <v>10</v>
      </c>
      <c r="H45" s="403">
        <v>10</v>
      </c>
      <c r="I45" s="213">
        <f t="shared" si="4"/>
        <v>10</v>
      </c>
      <c r="J45" s="213">
        <f t="shared" si="5"/>
        <v>60</v>
      </c>
      <c r="K45" s="11"/>
      <c r="L45"/>
    </row>
    <row r="46" spans="1:30" s="171" customFormat="1" ht="14.5" x14ac:dyDescent="0.35">
      <c r="A46" s="383" t="s">
        <v>331</v>
      </c>
      <c r="B46" s="384"/>
      <c r="C46" s="404">
        <v>0</v>
      </c>
      <c r="D46" s="405">
        <v>0</v>
      </c>
      <c r="E46" s="405">
        <v>0</v>
      </c>
      <c r="F46" s="405">
        <v>0</v>
      </c>
      <c r="G46" s="405">
        <v>0</v>
      </c>
      <c r="H46" s="406">
        <v>0</v>
      </c>
      <c r="I46" s="387">
        <f t="shared" si="4"/>
        <v>0</v>
      </c>
      <c r="J46" s="387">
        <f t="shared" si="5"/>
        <v>0</v>
      </c>
      <c r="K46" s="233"/>
      <c r="L46" s="38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s="171" customFormat="1" ht="14.5" x14ac:dyDescent="0.35">
      <c r="A47" s="30" t="s">
        <v>467</v>
      </c>
      <c r="B47" s="384"/>
      <c r="C47" s="404">
        <v>0</v>
      </c>
      <c r="D47" s="405">
        <v>0</v>
      </c>
      <c r="E47" s="405">
        <v>0</v>
      </c>
      <c r="F47" s="405">
        <v>0</v>
      </c>
      <c r="G47" s="405">
        <v>0</v>
      </c>
      <c r="H47" s="406">
        <v>0</v>
      </c>
      <c r="I47" s="387">
        <f t="shared" ref="I47" si="9">IFERROR(AVERAGE(C47:H47),0)</f>
        <v>0</v>
      </c>
      <c r="J47" s="387">
        <f t="shared" ref="J47" si="10">SUM(C47:H47)</f>
        <v>0</v>
      </c>
      <c r="K47" s="233"/>
      <c r="L47" s="38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171" customFormat="1" ht="14.5" x14ac:dyDescent="0.35">
      <c r="A48" s="383" t="s">
        <v>376</v>
      </c>
      <c r="B48" s="384"/>
      <c r="C48" s="404">
        <v>0</v>
      </c>
      <c r="D48" s="405">
        <v>0</v>
      </c>
      <c r="E48" s="405">
        <v>0</v>
      </c>
      <c r="F48" s="405">
        <v>0</v>
      </c>
      <c r="G48" s="405">
        <v>0</v>
      </c>
      <c r="H48" s="406">
        <v>0</v>
      </c>
      <c r="I48" s="387">
        <f t="shared" si="4"/>
        <v>0</v>
      </c>
      <c r="J48" s="387">
        <f t="shared" si="5"/>
        <v>0</v>
      </c>
      <c r="K48" s="233"/>
      <c r="L48" s="38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12" ht="14.5" x14ac:dyDescent="0.35">
      <c r="A49" s="50" t="s">
        <v>129</v>
      </c>
      <c r="B49" s="53"/>
      <c r="C49" s="407">
        <v>1</v>
      </c>
      <c r="D49" s="408">
        <v>1</v>
      </c>
      <c r="E49" s="408">
        <v>1</v>
      </c>
      <c r="F49" s="408">
        <v>1</v>
      </c>
      <c r="G49" s="408">
        <v>1</v>
      </c>
      <c r="H49" s="409">
        <v>1</v>
      </c>
      <c r="I49" s="382">
        <f t="shared" si="4"/>
        <v>1</v>
      </c>
      <c r="J49" s="382">
        <f t="shared" si="5"/>
        <v>6</v>
      </c>
      <c r="K49" s="11"/>
      <c r="L49"/>
    </row>
    <row r="50" spans="1:12" ht="14.5" x14ac:dyDescent="0.35">
      <c r="A50" s="18" t="s">
        <v>8</v>
      </c>
      <c r="B50" s="20"/>
      <c r="C50" s="339">
        <f>C30+C37+C41+C49</f>
        <v>153.22775956284153</v>
      </c>
      <c r="D50" s="341">
        <f t="shared" ref="D50:H50" si="11">D30+D37+D41+D49</f>
        <v>153.21523287671232</v>
      </c>
      <c r="E50" s="341">
        <f t="shared" si="11"/>
        <v>153.22095890410958</v>
      </c>
      <c r="F50" s="341">
        <f t="shared" si="11"/>
        <v>153.21273972602739</v>
      </c>
      <c r="G50" s="341">
        <f t="shared" si="11"/>
        <v>153.22092896174863</v>
      </c>
      <c r="H50" s="161">
        <f t="shared" si="11"/>
        <v>153.22369863013699</v>
      </c>
      <c r="I50" s="159">
        <f t="shared" si="4"/>
        <v>153.22021977692941</v>
      </c>
      <c r="J50" s="159">
        <f t="shared" si="5"/>
        <v>919.32131866157647</v>
      </c>
      <c r="K50" s="11"/>
      <c r="L50"/>
    </row>
    <row r="51" spans="1:12" x14ac:dyDescent="0.3">
      <c r="K51" s="11"/>
    </row>
    <row r="52" spans="1:12" x14ac:dyDescent="0.3">
      <c r="A52" s="42" t="s">
        <v>101</v>
      </c>
      <c r="B52" s="42"/>
      <c r="C52" s="44"/>
      <c r="D52" s="44"/>
      <c r="E52" s="44"/>
      <c r="F52" s="44"/>
      <c r="G52" s="44"/>
      <c r="H52" s="44"/>
      <c r="I52" s="44"/>
      <c r="J52" s="44"/>
      <c r="K52" s="11"/>
    </row>
    <row r="53" spans="1:12" x14ac:dyDescent="0.3">
      <c r="C53" s="11"/>
      <c r="D53" s="11"/>
      <c r="E53" s="11"/>
      <c r="F53" s="11"/>
      <c r="G53" s="11"/>
      <c r="H53" s="11"/>
      <c r="K53" s="11"/>
    </row>
    <row r="54" spans="1:12" ht="26" x14ac:dyDescent="0.3">
      <c r="A54" s="693" t="s">
        <v>181</v>
      </c>
      <c r="B54" s="678" t="s">
        <v>377</v>
      </c>
      <c r="C54" s="3">
        <f>Annee</f>
        <v>2024</v>
      </c>
      <c r="D54" s="291">
        <f>C54+1</f>
        <v>2025</v>
      </c>
      <c r="E54" s="291">
        <f t="shared" ref="E54:G54" si="12">D54+1</f>
        <v>2026</v>
      </c>
      <c r="F54" s="291">
        <f t="shared" si="12"/>
        <v>2027</v>
      </c>
      <c r="G54" s="291">
        <f t="shared" si="12"/>
        <v>2028</v>
      </c>
      <c r="H54" s="295">
        <f>G54+1</f>
        <v>2029</v>
      </c>
      <c r="I54" s="179" t="s">
        <v>271</v>
      </c>
      <c r="J54" s="4" t="s">
        <v>62</v>
      </c>
      <c r="K54" s="11"/>
      <c r="L54" s="683" t="s">
        <v>305</v>
      </c>
    </row>
    <row r="55" spans="1:12" x14ac:dyDescent="0.3">
      <c r="A55" s="692"/>
      <c r="B55" s="679"/>
      <c r="C55" s="77">
        <v>12</v>
      </c>
      <c r="D55" s="77">
        <v>12</v>
      </c>
      <c r="E55" s="77">
        <v>12</v>
      </c>
      <c r="F55" s="77">
        <v>12</v>
      </c>
      <c r="G55" s="77">
        <v>12</v>
      </c>
      <c r="H55" s="77">
        <v>12</v>
      </c>
      <c r="I55" s="78">
        <f t="shared" ref="I55:I79" si="13">IFERROR(AVERAGE(C55:H55),0)</f>
        <v>12</v>
      </c>
      <c r="J55" s="78">
        <f t="shared" ref="J55:J80" si="14">SUM(C55:H55)</f>
        <v>72</v>
      </c>
      <c r="K55" s="11"/>
      <c r="L55" s="699"/>
    </row>
    <row r="56" spans="1:12" x14ac:dyDescent="0.3">
      <c r="A56" s="50" t="s">
        <v>58</v>
      </c>
      <c r="B56" s="414">
        <f t="shared" ref="B56:B73" si="15">IFERROR(J56/J30,"-")</f>
        <v>59215.451275289619</v>
      </c>
      <c r="C56" s="357">
        <f>SUM(C57:C62)</f>
        <v>5380282.8334368309</v>
      </c>
      <c r="D56" s="293">
        <f t="shared" ref="D56" si="16">SUM(D57:D62)</f>
        <v>5410410.036015274</v>
      </c>
      <c r="E56" s="293">
        <f t="shared" ref="E56" si="17">SUM(E57:E62)</f>
        <v>5455613.1836328544</v>
      </c>
      <c r="F56" s="293">
        <f t="shared" ref="F56" si="18">SUM(F57:F62)</f>
        <v>5417940.5912204338</v>
      </c>
      <c r="G56" s="293">
        <f t="shared" ref="G56" si="19">SUM(G57:G62)</f>
        <v>5467071.8538106941</v>
      </c>
      <c r="H56" s="292">
        <f t="shared" ref="H56" si="20">SUM(H57:H62)</f>
        <v>5454667.5034490563</v>
      </c>
      <c r="I56" s="54">
        <f t="shared" si="13"/>
        <v>5430997.6669275239</v>
      </c>
      <c r="J56" s="54">
        <f t="shared" si="14"/>
        <v>32585986.001565143</v>
      </c>
      <c r="K56" s="11"/>
      <c r="L56" s="187"/>
    </row>
    <row r="57" spans="1:12" x14ac:dyDescent="0.3">
      <c r="A57" s="30" t="s">
        <v>287</v>
      </c>
      <c r="B57" s="415">
        <f t="shared" si="15"/>
        <v>73909.38282417717</v>
      </c>
      <c r="C57" s="413">
        <v>1920236.9341547329</v>
      </c>
      <c r="D57" s="374">
        <v>1915465.0652075382</v>
      </c>
      <c r="E57" s="374">
        <v>1923333.2630366506</v>
      </c>
      <c r="F57" s="374">
        <v>1898843.2656744032</v>
      </c>
      <c r="G57" s="374">
        <v>1911832.0190626024</v>
      </c>
      <c r="H57" s="375">
        <v>1920830.8036032973</v>
      </c>
      <c r="I57" s="39">
        <f t="shared" si="13"/>
        <v>1915090.2251232041</v>
      </c>
      <c r="J57" s="14">
        <f t="shared" si="14"/>
        <v>11490541.350739224</v>
      </c>
      <c r="K57" s="11"/>
      <c r="L57" s="187"/>
    </row>
    <row r="58" spans="1:12" x14ac:dyDescent="0.3">
      <c r="A58" s="30" t="s">
        <v>285</v>
      </c>
      <c r="B58" s="415">
        <f t="shared" si="15"/>
        <v>54838.76083093544</v>
      </c>
      <c r="C58" s="413">
        <v>1352312.2901791001</v>
      </c>
      <c r="D58" s="374">
        <v>1368466.4960064231</v>
      </c>
      <c r="E58" s="374">
        <v>1382663.8476012091</v>
      </c>
      <c r="F58" s="374">
        <v>1369810.5687677187</v>
      </c>
      <c r="G58" s="374">
        <v>1381342.388801269</v>
      </c>
      <c r="H58" s="375">
        <v>1371968.9281854024</v>
      </c>
      <c r="I58" s="14">
        <f t="shared" si="13"/>
        <v>1371094.0865901872</v>
      </c>
      <c r="J58" s="14">
        <f t="shared" si="14"/>
        <v>8226564.519541123</v>
      </c>
      <c r="K58" s="11"/>
      <c r="L58" s="187"/>
    </row>
    <row r="59" spans="1:12" x14ac:dyDescent="0.3">
      <c r="A59" s="30" t="s">
        <v>286</v>
      </c>
      <c r="B59" s="415">
        <f t="shared" si="15"/>
        <v>49470.282504511859</v>
      </c>
      <c r="C59" s="413">
        <v>1003988.3407709613</v>
      </c>
      <c r="D59" s="374">
        <v>1016105.1410269869</v>
      </c>
      <c r="E59" s="374">
        <v>1024654.0526496671</v>
      </c>
      <c r="F59" s="374">
        <v>1035460.2640532559</v>
      </c>
      <c r="G59" s="374">
        <v>1048491.4042297067</v>
      </c>
      <c r="H59" s="375">
        <v>1045327.2185387985</v>
      </c>
      <c r="I59" s="14">
        <f t="shared" si="13"/>
        <v>1029004.4035448959</v>
      </c>
      <c r="J59" s="14">
        <f t="shared" si="14"/>
        <v>6174026.4212693758</v>
      </c>
      <c r="K59" s="11"/>
      <c r="L59" s="187"/>
    </row>
    <row r="60" spans="1:12" x14ac:dyDescent="0.3">
      <c r="A60" s="30" t="s">
        <v>283</v>
      </c>
      <c r="B60" s="415">
        <f t="shared" si="15"/>
        <v>66927.689836760124</v>
      </c>
      <c r="C60" s="413">
        <v>463844.98384441243</v>
      </c>
      <c r="D60" s="374">
        <v>466092.37346626783</v>
      </c>
      <c r="E60" s="374">
        <v>466561.88526942424</v>
      </c>
      <c r="F60" s="374">
        <v>470543.9325709063</v>
      </c>
      <c r="G60" s="374">
        <v>471285.37537040922</v>
      </c>
      <c r="H60" s="375">
        <v>472634.42262250558</v>
      </c>
      <c r="I60" s="14">
        <f t="shared" si="13"/>
        <v>468493.82885732088</v>
      </c>
      <c r="J60" s="14">
        <f t="shared" si="14"/>
        <v>2810962.9731439254</v>
      </c>
      <c r="K60" s="11"/>
      <c r="L60" s="187"/>
    </row>
    <row r="61" spans="1:12" x14ac:dyDescent="0.3">
      <c r="A61" s="30" t="s">
        <v>284</v>
      </c>
      <c r="B61" s="415">
        <f t="shared" si="15"/>
        <v>50962.853405824768</v>
      </c>
      <c r="C61" s="413">
        <v>201423.9282106233</v>
      </c>
      <c r="D61" s="374">
        <v>201631.42419953193</v>
      </c>
      <c r="E61" s="374">
        <v>202913.48070983286</v>
      </c>
      <c r="F61" s="374">
        <v>204948.85972764314</v>
      </c>
      <c r="G61" s="374">
        <v>205399.13797306182</v>
      </c>
      <c r="H61" s="375">
        <v>206791.65091910143</v>
      </c>
      <c r="I61" s="14">
        <f t="shared" si="13"/>
        <v>203851.41362329907</v>
      </c>
      <c r="J61" s="14">
        <f t="shared" si="14"/>
        <v>1223108.4817397944</v>
      </c>
      <c r="K61" s="11"/>
      <c r="L61" s="187"/>
    </row>
    <row r="62" spans="1:12" x14ac:dyDescent="0.3">
      <c r="A62" s="30" t="s">
        <v>288</v>
      </c>
      <c r="B62" s="415">
        <f t="shared" si="15"/>
        <v>49263.76140427879</v>
      </c>
      <c r="C62" s="413">
        <v>438476.35627700092</v>
      </c>
      <c r="D62" s="374">
        <v>442649.53610852553</v>
      </c>
      <c r="E62" s="374">
        <v>455486.65436607087</v>
      </c>
      <c r="F62" s="374">
        <v>438333.70042650553</v>
      </c>
      <c r="G62" s="374">
        <v>448721.52837364428</v>
      </c>
      <c r="H62" s="375">
        <v>437114.4795799515</v>
      </c>
      <c r="I62" s="14">
        <f t="shared" si="13"/>
        <v>443463.70918861643</v>
      </c>
      <c r="J62" s="14">
        <f t="shared" si="14"/>
        <v>2660782.2551316987</v>
      </c>
      <c r="K62" s="11"/>
      <c r="L62" s="187"/>
    </row>
    <row r="63" spans="1:12" x14ac:dyDescent="0.3">
      <c r="A63" s="50" t="s">
        <v>59</v>
      </c>
      <c r="B63" s="414">
        <f t="shared" si="15"/>
        <v>68874.050407706905</v>
      </c>
      <c r="C63" s="357">
        <f>SUM(C64:C66)</f>
        <v>1081437.5190607063</v>
      </c>
      <c r="D63" s="293">
        <f t="shared" ref="D63" si="21">SUM(D64:D66)</f>
        <v>1100861.7405128879</v>
      </c>
      <c r="E63" s="293">
        <f t="shared" ref="E63" si="22">SUM(E64:E66)</f>
        <v>1076700.4149694094</v>
      </c>
      <c r="F63" s="293">
        <f t="shared" ref="F63" si="23">SUM(F64:F66)</f>
        <v>1081005.8827540972</v>
      </c>
      <c r="G63" s="293">
        <f t="shared" ref="G63" si="24">SUM(G64:G66)</f>
        <v>1089749.2112282482</v>
      </c>
      <c r="H63" s="292">
        <f t="shared" ref="H63" si="25">SUM(H64:H66)</f>
        <v>1100070.7826478891</v>
      </c>
      <c r="I63" s="54">
        <f t="shared" si="13"/>
        <v>1088304.2585288731</v>
      </c>
      <c r="J63" s="54">
        <f t="shared" si="14"/>
        <v>6529825.5511732381</v>
      </c>
      <c r="K63" s="11"/>
      <c r="L63" s="187"/>
    </row>
    <row r="64" spans="1:12" x14ac:dyDescent="0.3">
      <c r="A64" s="30" t="s">
        <v>281</v>
      </c>
      <c r="B64" s="415">
        <f t="shared" si="15"/>
        <v>68103.284365403975</v>
      </c>
      <c r="C64" s="413">
        <v>53351.187700445502</v>
      </c>
      <c r="D64" s="374">
        <v>53464.601243844772</v>
      </c>
      <c r="E64" s="374">
        <v>54349.055887743969</v>
      </c>
      <c r="F64" s="374">
        <v>54261.862411877279</v>
      </c>
      <c r="G64" s="374">
        <v>55842.113405795193</v>
      </c>
      <c r="H64" s="375">
        <v>55626.944304232296</v>
      </c>
      <c r="I64" s="14">
        <f t="shared" si="13"/>
        <v>54482.627492323176</v>
      </c>
      <c r="J64" s="14">
        <f t="shared" si="14"/>
        <v>326895.76495393907</v>
      </c>
      <c r="K64" s="11"/>
      <c r="L64" s="187"/>
    </row>
    <row r="65" spans="1:30" x14ac:dyDescent="0.3">
      <c r="A65" s="30" t="s">
        <v>280</v>
      </c>
      <c r="B65" s="415">
        <f t="shared" si="15"/>
        <v>68009.018093636318</v>
      </c>
      <c r="C65" s="413">
        <v>471769.41725357913</v>
      </c>
      <c r="D65" s="374">
        <v>474214.02339762152</v>
      </c>
      <c r="E65" s="374">
        <v>474364.5224466431</v>
      </c>
      <c r="F65" s="374">
        <v>476440.547179644</v>
      </c>
      <c r="G65" s="374">
        <v>479265.807426196</v>
      </c>
      <c r="H65" s="375">
        <v>480510.25921836827</v>
      </c>
      <c r="I65" s="14">
        <f t="shared" si="13"/>
        <v>476094.09615367535</v>
      </c>
      <c r="J65" s="14">
        <f t="shared" si="14"/>
        <v>2856564.5769220521</v>
      </c>
      <c r="K65" s="11"/>
      <c r="L65" s="187"/>
    </row>
    <row r="66" spans="1:30" x14ac:dyDescent="0.3">
      <c r="A66" s="30" t="s">
        <v>282</v>
      </c>
      <c r="B66" s="415">
        <f t="shared" si="15"/>
        <v>69707.98432790178</v>
      </c>
      <c r="C66" s="413">
        <v>556316.91410668159</v>
      </c>
      <c r="D66" s="374">
        <v>573183.11587142176</v>
      </c>
      <c r="E66" s="374">
        <v>547986.83663502231</v>
      </c>
      <c r="F66" s="374">
        <v>550303.47316257586</v>
      </c>
      <c r="G66" s="374">
        <v>554641.29039625695</v>
      </c>
      <c r="H66" s="375">
        <v>563933.57912528864</v>
      </c>
      <c r="I66" s="14">
        <f t="shared" si="13"/>
        <v>557727.53488287458</v>
      </c>
      <c r="J66" s="14">
        <f t="shared" si="14"/>
        <v>3346365.2092972472</v>
      </c>
      <c r="K66" s="11"/>
      <c r="L66" s="187"/>
    </row>
    <row r="67" spans="1:30" x14ac:dyDescent="0.3">
      <c r="A67" s="50" t="s">
        <v>60</v>
      </c>
      <c r="B67" s="414">
        <f t="shared" si="15"/>
        <v>50444.152580965441</v>
      </c>
      <c r="C67" s="357">
        <f>SUM(C68:C74)</f>
        <v>2236131.0900263125</v>
      </c>
      <c r="D67" s="293">
        <f t="shared" ref="D67" si="26">SUM(D68:D74)</f>
        <v>2235400.6129934285</v>
      </c>
      <c r="E67" s="293">
        <f t="shared" ref="E67" si="27">SUM(E68:E74)</f>
        <v>2262563.7862275527</v>
      </c>
      <c r="F67" s="293">
        <f t="shared" ref="F67" si="28">SUM(F68:F74)</f>
        <v>2250842.3683495224</v>
      </c>
      <c r="G67" s="293">
        <f t="shared" ref="G67" si="29">SUM(G68:G74)</f>
        <v>2261572.2754115993</v>
      </c>
      <c r="H67" s="292">
        <f t="shared" ref="H67" si="30">SUM(H68:H74)</f>
        <v>2283508.5881170356</v>
      </c>
      <c r="I67" s="54">
        <f t="shared" si="13"/>
        <v>2255003.1201875755</v>
      </c>
      <c r="J67" s="54">
        <f t="shared" si="14"/>
        <v>13530018.721125452</v>
      </c>
      <c r="K67" s="11"/>
      <c r="L67" s="187"/>
    </row>
    <row r="68" spans="1:30" x14ac:dyDescent="0.3">
      <c r="A68" s="30" t="s">
        <v>276</v>
      </c>
      <c r="B68" s="415">
        <f t="shared" si="15"/>
        <v>56401.319119124084</v>
      </c>
      <c r="C68" s="413">
        <v>1387751.4745983777</v>
      </c>
      <c r="D68" s="374">
        <v>1382317.5548229387</v>
      </c>
      <c r="E68" s="374">
        <v>1404702.4804558076</v>
      </c>
      <c r="F68" s="374">
        <v>1385573.5547533543</v>
      </c>
      <c r="G68" s="374">
        <v>1392402.6051846948</v>
      </c>
      <c r="H68" s="375">
        <v>1406622.5490721355</v>
      </c>
      <c r="I68" s="14">
        <f t="shared" si="13"/>
        <v>1393228.3698145514</v>
      </c>
      <c r="J68" s="14">
        <f t="shared" si="14"/>
        <v>8359370.2188873086</v>
      </c>
      <c r="K68" s="11"/>
      <c r="L68" s="187"/>
    </row>
    <row r="69" spans="1:30" x14ac:dyDescent="0.3">
      <c r="A69" s="30" t="s">
        <v>277</v>
      </c>
      <c r="B69" s="415">
        <f t="shared" si="15"/>
        <v>68509.423222509169</v>
      </c>
      <c r="C69" s="413">
        <v>200530.65444427429</v>
      </c>
      <c r="D69" s="374">
        <v>202934.67233188258</v>
      </c>
      <c r="E69" s="374">
        <v>203337.88564990269</v>
      </c>
      <c r="F69" s="374">
        <v>207969.58160579461</v>
      </c>
      <c r="G69" s="374">
        <v>208060.46873980219</v>
      </c>
      <c r="H69" s="375">
        <v>210336.35523350869</v>
      </c>
      <c r="I69" s="14">
        <f t="shared" si="13"/>
        <v>205528.26966752752</v>
      </c>
      <c r="J69" s="14">
        <f t="shared" si="14"/>
        <v>1233169.6180051651</v>
      </c>
      <c r="K69" s="11"/>
      <c r="L69" s="187"/>
    </row>
    <row r="70" spans="1:30" x14ac:dyDescent="0.3">
      <c r="A70" s="30" t="s">
        <v>278</v>
      </c>
      <c r="B70" s="415">
        <f t="shared" si="15"/>
        <v>41694.349163295468</v>
      </c>
      <c r="C70" s="413">
        <v>286030.72498139291</v>
      </c>
      <c r="D70" s="374">
        <v>289702.17811491323</v>
      </c>
      <c r="E70" s="374">
        <v>290997.74921916146</v>
      </c>
      <c r="F70" s="374">
        <v>293568.25334931654</v>
      </c>
      <c r="G70" s="374">
        <v>294058.03347023268</v>
      </c>
      <c r="H70" s="375">
        <v>297033.56369696249</v>
      </c>
      <c r="I70" s="14">
        <f t="shared" si="13"/>
        <v>291898.41713866324</v>
      </c>
      <c r="J70" s="14">
        <f t="shared" si="14"/>
        <v>1751390.5028319794</v>
      </c>
      <c r="K70" s="11"/>
      <c r="L70" s="187"/>
    </row>
    <row r="71" spans="1:30" x14ac:dyDescent="0.3">
      <c r="A71" s="30" t="s">
        <v>279</v>
      </c>
      <c r="B71" s="415">
        <f t="shared" si="15"/>
        <v>36434.806356683293</v>
      </c>
      <c r="C71" s="413">
        <v>361818.23600226763</v>
      </c>
      <c r="D71" s="374">
        <v>360446.20772369415</v>
      </c>
      <c r="E71" s="374">
        <v>363525.67090268078</v>
      </c>
      <c r="F71" s="374">
        <v>363730.97864105675</v>
      </c>
      <c r="G71" s="374">
        <v>367051.16801686963</v>
      </c>
      <c r="H71" s="375">
        <v>369516.12011442892</v>
      </c>
      <c r="I71" s="14">
        <f t="shared" si="13"/>
        <v>364348.06356683298</v>
      </c>
      <c r="J71" s="14">
        <f t="shared" si="14"/>
        <v>2186088.3814009978</v>
      </c>
      <c r="K71" s="11"/>
      <c r="L71" s="187"/>
    </row>
    <row r="72" spans="1:30" s="171" customFormat="1" ht="12" customHeight="1" x14ac:dyDescent="0.3">
      <c r="A72" s="383" t="s">
        <v>331</v>
      </c>
      <c r="B72" s="416" t="str">
        <f t="shared" si="15"/>
        <v>-</v>
      </c>
      <c r="C72" s="413">
        <v>0</v>
      </c>
      <c r="D72" s="374">
        <v>0</v>
      </c>
      <c r="E72" s="374">
        <v>0</v>
      </c>
      <c r="F72" s="374">
        <v>0</v>
      </c>
      <c r="G72" s="374">
        <v>0</v>
      </c>
      <c r="H72" s="375">
        <v>0</v>
      </c>
      <c r="I72" s="385">
        <f t="shared" si="13"/>
        <v>0</v>
      </c>
      <c r="J72" s="385">
        <f t="shared" si="14"/>
        <v>0</v>
      </c>
      <c r="K72" s="233"/>
      <c r="L72" s="38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s="171" customFormat="1" ht="12" customHeight="1" x14ac:dyDescent="0.3">
      <c r="A73" s="30" t="s">
        <v>467</v>
      </c>
      <c r="B73" s="416" t="str">
        <f t="shared" si="15"/>
        <v>-</v>
      </c>
      <c r="C73" s="413">
        <v>0</v>
      </c>
      <c r="D73" s="374">
        <v>0</v>
      </c>
      <c r="E73" s="374">
        <v>0</v>
      </c>
      <c r="F73" s="374">
        <v>0</v>
      </c>
      <c r="G73" s="374">
        <v>0</v>
      </c>
      <c r="H73" s="375">
        <v>0</v>
      </c>
      <c r="I73" s="385">
        <f t="shared" ref="I73" si="31">IFERROR(AVERAGE(C73:H73),0)</f>
        <v>0</v>
      </c>
      <c r="J73" s="385">
        <f t="shared" ref="J73" si="32">SUM(C73:H73)</f>
        <v>0</v>
      </c>
      <c r="K73" s="233"/>
      <c r="L73" s="38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s="171" customFormat="1" x14ac:dyDescent="0.3">
      <c r="A74" s="383" t="s">
        <v>376</v>
      </c>
      <c r="B74" s="416" t="str">
        <f t="shared" ref="B74" si="33">IFERROR(J74/J48,"-")</f>
        <v>-</v>
      </c>
      <c r="C74" s="413">
        <v>0</v>
      </c>
      <c r="D74" s="374">
        <v>0</v>
      </c>
      <c r="E74" s="374">
        <v>0</v>
      </c>
      <c r="F74" s="374">
        <v>0</v>
      </c>
      <c r="G74" s="374">
        <v>0</v>
      </c>
      <c r="H74" s="375">
        <v>0</v>
      </c>
      <c r="I74" s="385">
        <f t="shared" si="13"/>
        <v>0</v>
      </c>
      <c r="J74" s="385">
        <f t="shared" si="14"/>
        <v>0</v>
      </c>
      <c r="K74" s="233"/>
      <c r="L74" s="38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">
      <c r="A75" s="50" t="s">
        <v>191</v>
      </c>
      <c r="B75" s="414"/>
      <c r="C75" s="357">
        <f>SUM(C76:C78)</f>
        <v>608443.41250806127</v>
      </c>
      <c r="D75" s="293">
        <f t="shared" ref="D75:H75" si="34">SUM(D76:D78)</f>
        <v>608110.44398944266</v>
      </c>
      <c r="E75" s="293">
        <f t="shared" si="34"/>
        <v>608580.42241050571</v>
      </c>
      <c r="F75" s="293">
        <f t="shared" si="34"/>
        <v>608839.44683553022</v>
      </c>
      <c r="G75" s="293">
        <f t="shared" si="34"/>
        <v>609211.48905741668</v>
      </c>
      <c r="H75" s="292">
        <f t="shared" si="34"/>
        <v>610672.44135989388</v>
      </c>
      <c r="I75" s="54">
        <f t="shared" si="13"/>
        <v>608976.27602680831</v>
      </c>
      <c r="J75" s="54">
        <f t="shared" si="14"/>
        <v>3653857.6561608501</v>
      </c>
      <c r="K75" s="11"/>
      <c r="L75" s="187"/>
    </row>
    <row r="76" spans="1:30" x14ac:dyDescent="0.3">
      <c r="A76" s="30" t="s">
        <v>175</v>
      </c>
      <c r="B76" s="415"/>
      <c r="C76" s="315">
        <v>138431.41250806124</v>
      </c>
      <c r="D76" s="316">
        <v>138098.4439894426</v>
      </c>
      <c r="E76" s="316">
        <v>138568.42241050574</v>
      </c>
      <c r="F76" s="316">
        <v>138827.44683553025</v>
      </c>
      <c r="G76" s="316">
        <v>139199.48905741665</v>
      </c>
      <c r="H76" s="317">
        <v>140660.44135989388</v>
      </c>
      <c r="I76" s="14">
        <f t="shared" si="13"/>
        <v>138964.27602680839</v>
      </c>
      <c r="J76" s="14">
        <f t="shared" si="14"/>
        <v>833785.65616085031</v>
      </c>
      <c r="K76" s="11"/>
      <c r="L76" s="187"/>
    </row>
    <row r="77" spans="1:30" x14ac:dyDescent="0.3">
      <c r="A77" s="30" t="s">
        <v>22</v>
      </c>
      <c r="B77" s="415"/>
      <c r="C77" s="315">
        <v>20000</v>
      </c>
      <c r="D77" s="316">
        <v>20000</v>
      </c>
      <c r="E77" s="316">
        <v>20000</v>
      </c>
      <c r="F77" s="316">
        <v>20000</v>
      </c>
      <c r="G77" s="316">
        <v>20000</v>
      </c>
      <c r="H77" s="317">
        <v>20000</v>
      </c>
      <c r="I77" s="14">
        <f t="shared" si="13"/>
        <v>20000</v>
      </c>
      <c r="J77" s="14">
        <f t="shared" si="14"/>
        <v>120000</v>
      </c>
      <c r="K77" s="11"/>
      <c r="L77" s="187"/>
    </row>
    <row r="78" spans="1:30" x14ac:dyDescent="0.3">
      <c r="A78" s="61" t="s">
        <v>23</v>
      </c>
      <c r="B78" s="415"/>
      <c r="C78" s="315">
        <v>450012</v>
      </c>
      <c r="D78" s="316">
        <v>450012</v>
      </c>
      <c r="E78" s="316">
        <v>450012</v>
      </c>
      <c r="F78" s="316">
        <v>450012</v>
      </c>
      <c r="G78" s="316">
        <v>450012</v>
      </c>
      <c r="H78" s="317">
        <v>450012</v>
      </c>
      <c r="I78" s="14">
        <f t="shared" ref="I78" si="35">IFERROR(AVERAGE(C78:H78),0)</f>
        <v>450012</v>
      </c>
      <c r="J78" s="14">
        <f t="shared" ref="J78" si="36">SUM(C78:H78)</f>
        <v>2700072</v>
      </c>
      <c r="K78" s="11"/>
      <c r="L78" s="187"/>
    </row>
    <row r="79" spans="1:30" s="5" customFormat="1" x14ac:dyDescent="0.3">
      <c r="A79" s="50" t="s">
        <v>129</v>
      </c>
      <c r="B79" s="414">
        <f>IFERROR(J79/J49,"-")</f>
        <v>194208.77902164994</v>
      </c>
      <c r="C79" s="410">
        <v>185210</v>
      </c>
      <c r="D79" s="411">
        <v>188738.14999999997</v>
      </c>
      <c r="E79" s="411">
        <v>192319.22224999993</v>
      </c>
      <c r="F79" s="411">
        <v>195954.01058374991</v>
      </c>
      <c r="G79" s="411">
        <v>199643.32074250613</v>
      </c>
      <c r="H79" s="412">
        <v>203387.97055364368</v>
      </c>
      <c r="I79" s="54">
        <f t="shared" si="13"/>
        <v>194208.77902164994</v>
      </c>
      <c r="J79" s="54">
        <f t="shared" si="14"/>
        <v>1165252.6741298996</v>
      </c>
      <c r="K79" s="11"/>
      <c r="L79" s="18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">
      <c r="A80" s="18" t="s">
        <v>8</v>
      </c>
      <c r="B80" s="417">
        <f>IFERROR(J80/J50,"-")</f>
        <v>62508.003934703447</v>
      </c>
      <c r="C80" s="60">
        <f t="shared" ref="C80:H80" si="37">C56+C63+C67+C75+C79</f>
        <v>9491504.8550319094</v>
      </c>
      <c r="D80" s="19">
        <f t="shared" si="37"/>
        <v>9543520.9835110344</v>
      </c>
      <c r="E80" s="19">
        <f t="shared" si="37"/>
        <v>9595777.02949032</v>
      </c>
      <c r="F80" s="19">
        <f t="shared" si="37"/>
        <v>9554582.2997433338</v>
      </c>
      <c r="G80" s="19">
        <f t="shared" si="37"/>
        <v>9627248.1502504628</v>
      </c>
      <c r="H80" s="35">
        <f t="shared" si="37"/>
        <v>9652307.2861275189</v>
      </c>
      <c r="I80" s="20">
        <f>IFERROR(AVERAGE(C80:H80),0)</f>
        <v>9577490.1006924305</v>
      </c>
      <c r="J80" s="20">
        <f t="shared" si="14"/>
        <v>57464940.604154587</v>
      </c>
      <c r="K80" s="11"/>
      <c r="L80" s="188" t="s">
        <v>451</v>
      </c>
    </row>
    <row r="81" spans="3:11" x14ac:dyDescent="0.3">
      <c r="C81" s="11"/>
      <c r="D81" s="11"/>
      <c r="E81" s="11"/>
      <c r="F81" s="11"/>
      <c r="G81" s="11"/>
      <c r="H81" s="11"/>
      <c r="K81" s="11"/>
    </row>
    <row r="82" spans="3:11" x14ac:dyDescent="0.3">
      <c r="C82" s="11"/>
      <c r="D82" s="11"/>
      <c r="E82" s="11"/>
      <c r="F82" s="11"/>
      <c r="G82" s="11"/>
      <c r="H82" s="11"/>
      <c r="K82" s="11"/>
    </row>
    <row r="83" spans="3:11" x14ac:dyDescent="0.3">
      <c r="C83" s="11"/>
      <c r="D83" s="11"/>
      <c r="E83" s="11"/>
      <c r="F83" s="11"/>
      <c r="G83" s="11"/>
      <c r="H83" s="11"/>
      <c r="K83" s="11"/>
    </row>
    <row r="86" spans="3:11" x14ac:dyDescent="0.3">
      <c r="C86" s="11"/>
      <c r="D86" s="11"/>
      <c r="E86" s="11"/>
      <c r="F86" s="11"/>
      <c r="G86" s="11"/>
      <c r="H86" s="11"/>
    </row>
    <row r="87" spans="3:11" x14ac:dyDescent="0.3">
      <c r="C87" s="11"/>
      <c r="D87" s="11"/>
      <c r="E87" s="11"/>
      <c r="F87" s="11"/>
      <c r="G87" s="11"/>
      <c r="H87" s="11"/>
    </row>
    <row r="89" spans="3:11" x14ac:dyDescent="0.3">
      <c r="C89" s="11"/>
      <c r="D89" s="11"/>
      <c r="E89" s="11"/>
      <c r="F89" s="11"/>
      <c r="G89" s="11"/>
      <c r="H89" s="11"/>
    </row>
    <row r="92" spans="3:11" x14ac:dyDescent="0.3">
      <c r="C92" s="11"/>
      <c r="D92" s="11"/>
      <c r="E92" s="11"/>
      <c r="F92" s="11"/>
      <c r="G92" s="11"/>
      <c r="H92" s="11"/>
    </row>
    <row r="93" spans="3:11" x14ac:dyDescent="0.3">
      <c r="C93" s="11"/>
      <c r="D93" s="11"/>
      <c r="E93" s="11"/>
      <c r="F93" s="11"/>
      <c r="G93" s="11"/>
      <c r="H93" s="11"/>
    </row>
  </sheetData>
  <mergeCells count="6">
    <mergeCell ref="L54:L55"/>
    <mergeCell ref="A1:J1"/>
    <mergeCell ref="A54:A55"/>
    <mergeCell ref="B54:B55"/>
    <mergeCell ref="A28:A29"/>
    <mergeCell ref="B28:B29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fitToHeight="4" orientation="landscape" r:id="rId1"/>
  <headerFooter>
    <oddHeader>&amp;L&amp;F&amp;R&amp;A</oddHeader>
    <oddFooter>&amp;L&amp;D&amp;C&amp;P/&amp;N&amp;R&amp;T</oddFooter>
  </headerFooter>
  <rowBreaks count="1" manualBreakCount="1">
    <brk id="50" max="16383" man="1"/>
  </rowBreaks>
  <ignoredErrors>
    <ignoredError sqref="D56:H56 C63:H63 C67:H67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8"/>
    <pageSetUpPr fitToPage="1"/>
  </sheetPr>
  <dimension ref="A1:T67"/>
  <sheetViews>
    <sheetView showGridLines="0" view="pageBreakPreview" topLeftCell="A22" zoomScale="85" zoomScaleNormal="100" zoomScaleSheetLayoutView="85" workbookViewId="0">
      <selection activeCell="J17" sqref="J17"/>
    </sheetView>
  </sheetViews>
  <sheetFormatPr baseColWidth="10" defaultColWidth="10.26953125" defaultRowHeight="13" x14ac:dyDescent="0.35"/>
  <cols>
    <col min="1" max="1" width="65.36328125" style="95" customWidth="1"/>
    <col min="2" max="3" width="11.453125" style="99" customWidth="1"/>
    <col min="4" max="4" width="14.54296875" style="99" customWidth="1"/>
    <col min="5" max="5" width="13.7265625" style="99" customWidth="1"/>
    <col min="6" max="6" width="11.453125" style="107" customWidth="1"/>
    <col min="7" max="10" width="11.453125" style="95" customWidth="1"/>
    <col min="11" max="11" width="6.7265625" style="95" customWidth="1"/>
    <col min="12" max="12" width="18" style="95" bestFit="1" customWidth="1"/>
    <col min="13" max="13" width="10.26953125" style="95"/>
    <col min="14" max="20" width="10.26953125" style="272"/>
    <col min="21" max="16384" width="10.26953125" style="95"/>
  </cols>
  <sheetData>
    <row r="1" spans="1:20" s="97" customFormat="1" ht="27" customHeight="1" x14ac:dyDescent="0.35">
      <c r="A1" s="700" t="s">
        <v>270</v>
      </c>
      <c r="B1" s="689"/>
      <c r="C1" s="689"/>
      <c r="D1" s="689"/>
      <c r="E1" s="689"/>
      <c r="F1" s="689"/>
      <c r="G1" s="689"/>
      <c r="H1" s="689"/>
      <c r="I1" s="689"/>
      <c r="J1" s="690"/>
      <c r="N1" s="270"/>
      <c r="O1" s="270"/>
      <c r="P1" s="270"/>
      <c r="Q1" s="270"/>
      <c r="R1" s="270"/>
      <c r="S1" s="270"/>
      <c r="T1" s="270"/>
    </row>
    <row r="2" spans="1:20" ht="14.5" x14ac:dyDescent="0.35">
      <c r="A2" s="98"/>
      <c r="B2" s="98"/>
      <c r="C2" s="98"/>
      <c r="D2" s="98"/>
      <c r="E2" s="98"/>
      <c r="F2" s="98"/>
      <c r="G2" s="98"/>
      <c r="H2" s="98"/>
      <c r="I2" s="98"/>
      <c r="J2" s="98"/>
      <c r="L2"/>
      <c r="M2"/>
    </row>
    <row r="3" spans="1:20" ht="14.25" customHeight="1" x14ac:dyDescent="0.35">
      <c r="A3" s="705" t="s">
        <v>235</v>
      </c>
      <c r="B3" s="707" t="s">
        <v>194</v>
      </c>
      <c r="C3" s="709" t="s">
        <v>179</v>
      </c>
      <c r="D3" s="706" t="s">
        <v>177</v>
      </c>
      <c r="E3" s="708" t="s">
        <v>237</v>
      </c>
      <c r="F3" s="95"/>
      <c r="G3" s="614"/>
      <c r="H3" s="614"/>
      <c r="I3" s="614"/>
      <c r="K3"/>
      <c r="L3"/>
      <c r="M3"/>
    </row>
    <row r="4" spans="1:20" ht="12" customHeight="1" x14ac:dyDescent="0.35">
      <c r="A4" s="705"/>
      <c r="B4" s="707"/>
      <c r="C4" s="710"/>
      <c r="D4" s="706"/>
      <c r="E4" s="708"/>
      <c r="F4" s="95"/>
      <c r="H4" s="614"/>
      <c r="I4" s="614"/>
      <c r="K4"/>
      <c r="L4"/>
      <c r="M4"/>
    </row>
    <row r="5" spans="1:20" ht="13" customHeight="1" x14ac:dyDescent="0.35">
      <c r="A5" s="418" t="s">
        <v>539</v>
      </c>
      <c r="B5" s="424">
        <v>35000</v>
      </c>
      <c r="C5" s="425">
        <v>45292</v>
      </c>
      <c r="D5" s="426">
        <v>5</v>
      </c>
      <c r="E5" s="426">
        <v>0</v>
      </c>
      <c r="F5" s="100"/>
      <c r="G5" s="615"/>
      <c r="H5" s="614"/>
      <c r="I5" s="100"/>
      <c r="J5" s="100"/>
      <c r="K5"/>
      <c r="L5"/>
      <c r="M5"/>
    </row>
    <row r="6" spans="1:20" ht="13" customHeight="1" x14ac:dyDescent="0.35">
      <c r="A6" s="418" t="s">
        <v>540</v>
      </c>
      <c r="B6" s="424">
        <v>128251</v>
      </c>
      <c r="C6" s="425">
        <v>45292</v>
      </c>
      <c r="D6" s="426">
        <v>9</v>
      </c>
      <c r="E6" s="426">
        <v>42750.333333333343</v>
      </c>
      <c r="F6" s="100"/>
      <c r="G6" s="100"/>
      <c r="H6" s="100"/>
      <c r="I6" s="100"/>
      <c r="J6" s="100"/>
      <c r="K6"/>
      <c r="L6"/>
      <c r="M6"/>
    </row>
    <row r="7" spans="1:20" ht="15.75" customHeight="1" x14ac:dyDescent="0.35">
      <c r="A7" s="418" t="s">
        <v>541</v>
      </c>
      <c r="B7" s="424">
        <v>32000</v>
      </c>
      <c r="C7" s="425">
        <v>45292</v>
      </c>
      <c r="D7" s="426">
        <v>6</v>
      </c>
      <c r="E7" s="426">
        <v>5.4569682106375694E-12</v>
      </c>
      <c r="F7" s="95"/>
      <c r="K7"/>
      <c r="L7"/>
      <c r="M7"/>
    </row>
    <row r="8" spans="1:20" ht="26" x14ac:dyDescent="0.35">
      <c r="A8" s="648" t="s">
        <v>553</v>
      </c>
      <c r="B8" s="424">
        <v>30000</v>
      </c>
      <c r="C8" s="425">
        <v>45292</v>
      </c>
      <c r="D8" s="426">
        <v>6</v>
      </c>
      <c r="E8" s="426">
        <v>0</v>
      </c>
      <c r="F8" s="101"/>
      <c r="G8" s="101"/>
      <c r="H8" s="101"/>
      <c r="I8" s="101"/>
      <c r="J8" s="101"/>
      <c r="K8"/>
      <c r="L8"/>
      <c r="M8"/>
    </row>
    <row r="9" spans="1:20" ht="26" x14ac:dyDescent="0.35">
      <c r="A9" s="648" t="s">
        <v>554</v>
      </c>
      <c r="B9" s="424">
        <v>30000</v>
      </c>
      <c r="C9" s="425">
        <v>45658</v>
      </c>
      <c r="D9" s="426">
        <v>6</v>
      </c>
      <c r="E9" s="426">
        <v>5000</v>
      </c>
      <c r="F9" s="101"/>
      <c r="G9" s="101"/>
      <c r="H9" s="101"/>
      <c r="I9" s="101"/>
      <c r="J9" s="101"/>
      <c r="K9"/>
      <c r="L9"/>
      <c r="M9"/>
    </row>
    <row r="10" spans="1:20" ht="26" x14ac:dyDescent="0.35">
      <c r="A10" s="648" t="s">
        <v>555</v>
      </c>
      <c r="B10" s="424">
        <v>30000</v>
      </c>
      <c r="C10" s="425">
        <v>46023</v>
      </c>
      <c r="D10" s="426">
        <v>6</v>
      </c>
      <c r="E10" s="426">
        <v>10000</v>
      </c>
      <c r="F10" s="101"/>
      <c r="G10" s="101"/>
      <c r="H10" s="101"/>
      <c r="I10" s="101"/>
      <c r="J10" s="101"/>
      <c r="K10"/>
      <c r="L10"/>
      <c r="M10"/>
    </row>
    <row r="11" spans="1:20" ht="26" x14ac:dyDescent="0.35">
      <c r="A11" s="648" t="s">
        <v>556</v>
      </c>
      <c r="B11" s="424">
        <v>30000</v>
      </c>
      <c r="C11" s="425">
        <v>46388</v>
      </c>
      <c r="D11" s="426">
        <v>6</v>
      </c>
      <c r="E11" s="426">
        <v>15000</v>
      </c>
      <c r="F11" s="101"/>
      <c r="G11" s="101"/>
      <c r="H11" s="101"/>
      <c r="I11" s="101"/>
      <c r="J11" s="101"/>
      <c r="K11"/>
      <c r="L11"/>
      <c r="M11"/>
    </row>
    <row r="12" spans="1:20" ht="26" x14ac:dyDescent="0.35">
      <c r="A12" s="648" t="s">
        <v>557</v>
      </c>
      <c r="B12" s="424">
        <v>30000</v>
      </c>
      <c r="C12" s="425">
        <v>46753</v>
      </c>
      <c r="D12" s="426">
        <v>6</v>
      </c>
      <c r="E12" s="426">
        <v>20000</v>
      </c>
      <c r="F12" s="101"/>
      <c r="G12" s="101"/>
      <c r="H12" s="101"/>
      <c r="I12" s="101"/>
      <c r="J12" s="101"/>
      <c r="K12"/>
      <c r="L12"/>
      <c r="M12"/>
    </row>
    <row r="13" spans="1:20" ht="26" x14ac:dyDescent="0.35">
      <c r="A13" s="648" t="s">
        <v>558</v>
      </c>
      <c r="B13" s="424">
        <v>30000</v>
      </c>
      <c r="C13" s="425">
        <v>47119</v>
      </c>
      <c r="D13" s="426">
        <v>6</v>
      </c>
      <c r="E13" s="426">
        <v>25000</v>
      </c>
      <c r="F13" s="101"/>
      <c r="G13" s="101"/>
      <c r="H13" s="101"/>
      <c r="I13" s="101"/>
      <c r="J13" s="101"/>
      <c r="K13"/>
      <c r="L13"/>
      <c r="M13"/>
    </row>
    <row r="14" spans="1:20" ht="39" x14ac:dyDescent="0.35">
      <c r="A14" s="648" t="s">
        <v>559</v>
      </c>
      <c r="B14" s="424">
        <v>261918</v>
      </c>
      <c r="C14" s="425">
        <v>45292</v>
      </c>
      <c r="D14" s="426">
        <v>5</v>
      </c>
      <c r="E14" s="426">
        <v>0</v>
      </c>
      <c r="F14" s="101"/>
      <c r="G14" s="101"/>
      <c r="H14" s="101"/>
      <c r="I14" s="101"/>
      <c r="J14" s="101"/>
      <c r="K14"/>
      <c r="L14"/>
      <c r="M14"/>
    </row>
    <row r="15" spans="1:20" ht="39" x14ac:dyDescent="0.35">
      <c r="A15" s="649" t="s">
        <v>560</v>
      </c>
      <c r="B15" s="500">
        <v>206352</v>
      </c>
      <c r="C15" s="501">
        <v>45658</v>
      </c>
      <c r="D15" s="502">
        <v>5</v>
      </c>
      <c r="E15" s="502">
        <v>1.4551915228366852E-11</v>
      </c>
      <c r="F15" s="101"/>
      <c r="G15" s="101"/>
      <c r="H15" s="101"/>
      <c r="I15" s="101"/>
      <c r="J15" s="101"/>
      <c r="K15"/>
      <c r="L15"/>
      <c r="M15"/>
    </row>
    <row r="16" spans="1:20" ht="39" x14ac:dyDescent="0.35">
      <c r="A16" s="649" t="s">
        <v>563</v>
      </c>
      <c r="B16" s="500">
        <v>151800</v>
      </c>
      <c r="C16" s="501">
        <v>46023</v>
      </c>
      <c r="D16" s="502">
        <v>5</v>
      </c>
      <c r="E16" s="502">
        <v>30360</v>
      </c>
      <c r="F16" s="101"/>
      <c r="G16" s="101"/>
      <c r="H16" s="101"/>
      <c r="I16" s="101"/>
      <c r="J16" s="101"/>
      <c r="K16"/>
      <c r="L16"/>
      <c r="M16"/>
    </row>
    <row r="17" spans="1:20" ht="26" x14ac:dyDescent="0.35">
      <c r="A17" s="649" t="s">
        <v>564</v>
      </c>
      <c r="B17" s="500">
        <v>150000</v>
      </c>
      <c r="C17" s="501">
        <v>46388</v>
      </c>
      <c r="D17" s="502">
        <v>5</v>
      </c>
      <c r="E17" s="502">
        <v>60000</v>
      </c>
      <c r="F17" s="101"/>
      <c r="G17" s="101"/>
      <c r="H17" s="101"/>
      <c r="I17" s="101"/>
      <c r="J17" s="101"/>
      <c r="K17"/>
      <c r="L17"/>
      <c r="M17"/>
    </row>
    <row r="18" spans="1:20" ht="13" customHeight="1" x14ac:dyDescent="0.35">
      <c r="A18" s="499" t="s">
        <v>561</v>
      </c>
      <c r="B18" s="500">
        <v>42000</v>
      </c>
      <c r="C18" s="501">
        <v>46753</v>
      </c>
      <c r="D18" s="502">
        <v>5</v>
      </c>
      <c r="E18" s="502">
        <v>25200</v>
      </c>
      <c r="F18" s="101"/>
      <c r="G18" s="101"/>
      <c r="H18" s="101"/>
      <c r="I18" s="101"/>
      <c r="J18" s="101"/>
      <c r="K18"/>
      <c r="L18"/>
      <c r="M18"/>
    </row>
    <row r="19" spans="1:20" ht="13" customHeight="1" x14ac:dyDescent="0.35">
      <c r="A19" s="499" t="s">
        <v>562</v>
      </c>
      <c r="B19" s="500">
        <v>32000</v>
      </c>
      <c r="C19" s="501">
        <v>47119</v>
      </c>
      <c r="D19" s="502">
        <v>5</v>
      </c>
      <c r="E19" s="502">
        <v>25600</v>
      </c>
      <c r="F19" s="101"/>
      <c r="G19" s="101"/>
      <c r="H19" s="101"/>
      <c r="I19" s="101"/>
      <c r="J19" s="101"/>
      <c r="K19"/>
      <c r="L19"/>
      <c r="M19"/>
    </row>
    <row r="20" spans="1:20" ht="13" customHeight="1" x14ac:dyDescent="0.35">
      <c r="A20" s="499" t="s">
        <v>548</v>
      </c>
      <c r="B20" s="500">
        <v>76000</v>
      </c>
      <c r="C20" s="501">
        <v>45292</v>
      </c>
      <c r="D20" s="502">
        <v>5</v>
      </c>
      <c r="E20" s="502">
        <v>0</v>
      </c>
      <c r="F20" s="101"/>
      <c r="G20" s="101"/>
      <c r="H20" s="101"/>
      <c r="I20" s="101"/>
      <c r="J20" s="101"/>
      <c r="K20"/>
      <c r="L20"/>
      <c r="M20"/>
    </row>
    <row r="21" spans="1:20" ht="13" customHeight="1" x14ac:dyDescent="0.35">
      <c r="A21" s="499" t="s">
        <v>549</v>
      </c>
      <c r="B21" s="500">
        <v>38000</v>
      </c>
      <c r="C21" s="501">
        <v>46023</v>
      </c>
      <c r="D21" s="502">
        <v>5</v>
      </c>
      <c r="E21" s="502">
        <v>7600</v>
      </c>
      <c r="F21" s="101"/>
      <c r="G21" s="101"/>
      <c r="H21" s="101"/>
      <c r="I21" s="101"/>
      <c r="J21" s="101"/>
      <c r="K21"/>
      <c r="L21"/>
      <c r="M21"/>
    </row>
    <row r="22" spans="1:20" ht="13" customHeight="1" x14ac:dyDescent="0.35">
      <c r="A22" s="499" t="s">
        <v>550</v>
      </c>
      <c r="B22" s="500">
        <v>38000</v>
      </c>
      <c r="C22" s="501">
        <v>46753</v>
      </c>
      <c r="D22" s="502">
        <v>5</v>
      </c>
      <c r="E22" s="502">
        <v>22800</v>
      </c>
      <c r="F22" s="101"/>
      <c r="G22" s="101"/>
      <c r="H22" s="101"/>
      <c r="I22" s="101"/>
      <c r="J22" s="101"/>
      <c r="K22"/>
      <c r="L22"/>
      <c r="M22"/>
    </row>
    <row r="23" spans="1:20" ht="13" customHeight="1" x14ac:dyDescent="0.35">
      <c r="A23" s="499" t="s">
        <v>514</v>
      </c>
      <c r="B23" s="500">
        <v>25080</v>
      </c>
      <c r="C23" s="501">
        <v>45292</v>
      </c>
      <c r="D23" s="502">
        <v>5</v>
      </c>
      <c r="E23" s="502">
        <v>0</v>
      </c>
      <c r="F23" s="101"/>
      <c r="G23" s="101"/>
      <c r="H23" s="101"/>
      <c r="I23" s="101"/>
      <c r="J23" s="101"/>
      <c r="K23"/>
      <c r="L23"/>
      <c r="M23"/>
    </row>
    <row r="24" spans="1:20" ht="13" customHeight="1" x14ac:dyDescent="0.35">
      <c r="A24" s="499" t="s">
        <v>551</v>
      </c>
      <c r="B24" s="500">
        <v>371500</v>
      </c>
      <c r="C24" s="501">
        <v>45292</v>
      </c>
      <c r="D24" s="502">
        <v>5</v>
      </c>
      <c r="E24" s="502">
        <v>0</v>
      </c>
      <c r="F24" s="101"/>
      <c r="G24" s="101"/>
      <c r="H24" s="101"/>
      <c r="I24" s="101"/>
      <c r="J24" s="101"/>
      <c r="K24"/>
      <c r="L24"/>
      <c r="M24"/>
    </row>
    <row r="25" spans="1:20" ht="13" customHeight="1" x14ac:dyDescent="0.35">
      <c r="A25" s="499" t="s">
        <v>552</v>
      </c>
      <c r="B25" s="500">
        <v>86000</v>
      </c>
      <c r="C25" s="501">
        <v>45658</v>
      </c>
      <c r="D25" s="502">
        <v>5</v>
      </c>
      <c r="E25" s="502">
        <v>0</v>
      </c>
      <c r="F25" s="101"/>
      <c r="G25" s="101"/>
      <c r="H25" s="101"/>
      <c r="I25" s="101"/>
      <c r="J25" s="101"/>
      <c r="K25"/>
      <c r="L25"/>
      <c r="M25"/>
    </row>
    <row r="26" spans="1:20" ht="13" customHeight="1" x14ac:dyDescent="0.35">
      <c r="A26" s="499" t="s">
        <v>542</v>
      </c>
      <c r="B26" s="500">
        <v>32000</v>
      </c>
      <c r="C26" s="501">
        <v>45292</v>
      </c>
      <c r="D26" s="502">
        <v>5</v>
      </c>
      <c r="E26" s="502">
        <v>0</v>
      </c>
      <c r="F26" s="101"/>
      <c r="G26" s="101"/>
      <c r="H26" s="101"/>
      <c r="I26" s="101"/>
      <c r="J26" s="101"/>
      <c r="K26"/>
      <c r="L26"/>
      <c r="M26"/>
    </row>
    <row r="27" spans="1:20" ht="13" customHeight="1" x14ac:dyDescent="0.35">
      <c r="A27" s="499" t="s">
        <v>543</v>
      </c>
      <c r="B27" s="500">
        <v>16500</v>
      </c>
      <c r="C27" s="501">
        <v>46023</v>
      </c>
      <c r="D27" s="502">
        <v>5</v>
      </c>
      <c r="E27" s="502">
        <v>3300</v>
      </c>
      <c r="F27" s="101"/>
      <c r="G27" s="101"/>
      <c r="H27" s="101"/>
      <c r="I27" s="101"/>
      <c r="J27" s="101"/>
      <c r="K27"/>
      <c r="L27"/>
      <c r="M27"/>
    </row>
    <row r="28" spans="1:20" ht="13" customHeight="1" x14ac:dyDescent="0.35">
      <c r="A28" s="499" t="s">
        <v>543</v>
      </c>
      <c r="B28" s="500">
        <v>16500</v>
      </c>
      <c r="C28" s="501">
        <v>46388</v>
      </c>
      <c r="D28" s="502">
        <v>5</v>
      </c>
      <c r="E28" s="502">
        <v>6600</v>
      </c>
      <c r="F28" s="101"/>
      <c r="G28" s="101"/>
      <c r="H28" s="101"/>
      <c r="I28" s="101"/>
      <c r="J28" s="101"/>
      <c r="K28"/>
      <c r="L28"/>
      <c r="M28"/>
    </row>
    <row r="29" spans="1:20" ht="13" customHeight="1" x14ac:dyDescent="0.35">
      <c r="A29" s="499"/>
      <c r="B29" s="500"/>
      <c r="C29" s="501"/>
      <c r="D29" s="502"/>
      <c r="E29" s="502"/>
      <c r="F29" s="101"/>
      <c r="G29" s="101"/>
      <c r="H29" s="101"/>
      <c r="I29" s="101"/>
      <c r="J29" s="101"/>
      <c r="K29"/>
      <c r="L29"/>
      <c r="M29"/>
    </row>
    <row r="30" spans="1:20" ht="13" customHeight="1" x14ac:dyDescent="0.35">
      <c r="A30" s="499"/>
      <c r="B30" s="500"/>
      <c r="C30" s="501"/>
      <c r="D30" s="502"/>
      <c r="E30" s="502"/>
      <c r="F30" s="101"/>
      <c r="G30" s="101"/>
      <c r="H30" s="101"/>
      <c r="I30" s="101"/>
      <c r="J30" s="101"/>
      <c r="K30"/>
      <c r="L30"/>
      <c r="M30"/>
    </row>
    <row r="31" spans="1:20" s="103" customFormat="1" ht="14.5" x14ac:dyDescent="0.35">
      <c r="A31" s="419" t="s">
        <v>8</v>
      </c>
      <c r="B31" s="420">
        <f>SUM(B5:B30)</f>
        <v>1918901</v>
      </c>
      <c r="C31" s="422"/>
      <c r="D31" s="423"/>
      <c r="E31" s="421">
        <f>SUM(E5:E30)</f>
        <v>299210.33333333337</v>
      </c>
      <c r="K31"/>
      <c r="L31"/>
      <c r="M31"/>
      <c r="N31" s="273"/>
      <c r="O31" s="272"/>
      <c r="P31" s="273"/>
      <c r="Q31" s="273"/>
      <c r="R31" s="273"/>
      <c r="S31" s="273"/>
      <c r="T31" s="273"/>
    </row>
    <row r="32" spans="1:20" ht="14.5" x14ac:dyDescent="0.35">
      <c r="B32" s="102"/>
      <c r="C32" s="102"/>
      <c r="L32"/>
      <c r="M32"/>
    </row>
    <row r="33" spans="1:12" ht="27.65" customHeight="1" x14ac:dyDescent="0.35">
      <c r="A33" s="691" t="s">
        <v>236</v>
      </c>
      <c r="B33" s="678"/>
      <c r="C33" s="3">
        <f>Annee</f>
        <v>2024</v>
      </c>
      <c r="D33" s="291">
        <f>C33+1</f>
        <v>2025</v>
      </c>
      <c r="E33" s="291">
        <f t="shared" ref="E33:G33" si="0">D33+1</f>
        <v>2026</v>
      </c>
      <c r="F33" s="291">
        <f t="shared" si="0"/>
        <v>2027</v>
      </c>
      <c r="G33" s="291">
        <f t="shared" si="0"/>
        <v>2028</v>
      </c>
      <c r="H33" s="295">
        <f>G33+1</f>
        <v>2029</v>
      </c>
      <c r="I33" s="179" t="s">
        <v>271</v>
      </c>
      <c r="J33" s="4" t="s">
        <v>62</v>
      </c>
      <c r="L33" s="683" t="s">
        <v>305</v>
      </c>
    </row>
    <row r="34" spans="1:12" x14ac:dyDescent="0.35">
      <c r="A34" s="694"/>
      <c r="B34" s="679"/>
      <c r="C34" s="77">
        <v>12</v>
      </c>
      <c r="D34" s="77">
        <v>12</v>
      </c>
      <c r="E34" s="77">
        <v>12</v>
      </c>
      <c r="F34" s="77">
        <v>12</v>
      </c>
      <c r="G34" s="77">
        <v>12</v>
      </c>
      <c r="H34" s="77">
        <v>12</v>
      </c>
      <c r="I34" s="78">
        <f t="shared" ref="I34:I44" si="1">IFERROR(AVERAGE(C34:H34),0)</f>
        <v>12</v>
      </c>
      <c r="J34" s="78">
        <f t="shared" ref="J34:J44" si="2">SUM(C34:H34)</f>
        <v>72</v>
      </c>
      <c r="L34" s="684"/>
    </row>
    <row r="35" spans="1:12" ht="13" customHeight="1" x14ac:dyDescent="0.3">
      <c r="A35" s="427" t="str">
        <f t="shared" ref="A35:A44" si="3">IF(A5="","-",A5)</f>
        <v>Camion nacelle</v>
      </c>
      <c r="B35" s="108"/>
      <c r="C35" s="424">
        <v>7000</v>
      </c>
      <c r="D35" s="428">
        <v>7000</v>
      </c>
      <c r="E35" s="428">
        <v>7000</v>
      </c>
      <c r="F35" s="428">
        <v>7000</v>
      </c>
      <c r="G35" s="428">
        <v>7000</v>
      </c>
      <c r="H35" s="429">
        <v>0</v>
      </c>
      <c r="I35" s="156">
        <f t="shared" si="1"/>
        <v>5833.333333333333</v>
      </c>
      <c r="J35" s="156">
        <f t="shared" si="2"/>
        <v>35000</v>
      </c>
      <c r="L35" s="186"/>
    </row>
    <row r="36" spans="1:12" ht="13" customHeight="1" x14ac:dyDescent="0.3">
      <c r="A36" s="427" t="str">
        <f t="shared" si="3"/>
        <v>Nacelle (dépôt de Houdain)</v>
      </c>
      <c r="B36" s="108"/>
      <c r="C36" s="424">
        <v>14250.111111111111</v>
      </c>
      <c r="D36" s="430">
        <v>14250.111111111111</v>
      </c>
      <c r="E36" s="430">
        <v>14250.111111111111</v>
      </c>
      <c r="F36" s="430">
        <v>14250.111111111111</v>
      </c>
      <c r="G36" s="430">
        <v>14250.111111111111</v>
      </c>
      <c r="H36" s="429">
        <v>14250.111111111111</v>
      </c>
      <c r="I36" s="156">
        <f t="shared" si="1"/>
        <v>14250.111111111111</v>
      </c>
      <c r="J36" s="156">
        <f t="shared" si="2"/>
        <v>85500.666666666672</v>
      </c>
      <c r="L36" s="187"/>
    </row>
    <row r="37" spans="1:12" ht="13" customHeight="1" x14ac:dyDescent="0.3">
      <c r="A37" s="427" t="str">
        <f t="shared" si="3"/>
        <v>Jeux de 6 colonnes (dépôt de Hénin)</v>
      </c>
      <c r="B37" s="108"/>
      <c r="C37" s="424">
        <v>5333.333333333333</v>
      </c>
      <c r="D37" s="430">
        <v>5333.333333333333</v>
      </c>
      <c r="E37" s="430">
        <v>5333.333333333333</v>
      </c>
      <c r="F37" s="430">
        <v>5333.333333333333</v>
      </c>
      <c r="G37" s="430">
        <v>5333.333333333333</v>
      </c>
      <c r="H37" s="429">
        <v>5333.333333333333</v>
      </c>
      <c r="I37" s="156">
        <f t="shared" si="1"/>
        <v>5333.333333333333</v>
      </c>
      <c r="J37" s="156">
        <f t="shared" si="2"/>
        <v>31999.999999999996</v>
      </c>
      <c r="L37" s="187"/>
    </row>
    <row r="38" spans="1:12" ht="13" customHeight="1" x14ac:dyDescent="0.3">
      <c r="A38" s="427" t="str">
        <f t="shared" si="3"/>
        <v>Renouvellement des équipements et amélioration 1
 (Enveloppe annuelle pour renouvellement des équipements atelier)</v>
      </c>
      <c r="B38" s="108"/>
      <c r="C38" s="424">
        <v>5000</v>
      </c>
      <c r="D38" s="430">
        <v>5000</v>
      </c>
      <c r="E38" s="430">
        <v>5000</v>
      </c>
      <c r="F38" s="430">
        <v>5000</v>
      </c>
      <c r="G38" s="430">
        <v>5000</v>
      </c>
      <c r="H38" s="429">
        <v>5000</v>
      </c>
      <c r="I38" s="156">
        <f t="shared" si="1"/>
        <v>5000</v>
      </c>
      <c r="J38" s="156">
        <f t="shared" si="2"/>
        <v>30000</v>
      </c>
      <c r="L38" s="187"/>
    </row>
    <row r="39" spans="1:12" ht="13" customHeight="1" x14ac:dyDescent="0.3">
      <c r="A39" s="427" t="str">
        <f t="shared" si="3"/>
        <v>Renouvellement des équipements et amélioration 2
 (Enveloppe annuelle pour renouvellement des équipements atelier)</v>
      </c>
      <c r="B39" s="108"/>
      <c r="C39" s="424">
        <v>0</v>
      </c>
      <c r="D39" s="430">
        <v>5000</v>
      </c>
      <c r="E39" s="430">
        <v>5000</v>
      </c>
      <c r="F39" s="430">
        <v>5000</v>
      </c>
      <c r="G39" s="430">
        <v>5000</v>
      </c>
      <c r="H39" s="429">
        <v>5000</v>
      </c>
      <c r="I39" s="156">
        <f t="shared" si="1"/>
        <v>4166.666666666667</v>
      </c>
      <c r="J39" s="156">
        <f t="shared" si="2"/>
        <v>25000</v>
      </c>
      <c r="L39" s="187"/>
    </row>
    <row r="40" spans="1:12" ht="13" customHeight="1" x14ac:dyDescent="0.3">
      <c r="A40" s="427" t="str">
        <f t="shared" si="3"/>
        <v>Renouvellement des équipements et amélioration 3
 (Enveloppe annuelle pour renouvellement des équipements atelier)</v>
      </c>
      <c r="B40" s="108"/>
      <c r="C40" s="424">
        <v>0</v>
      </c>
      <c r="D40" s="430">
        <v>0</v>
      </c>
      <c r="E40" s="430">
        <v>5000</v>
      </c>
      <c r="F40" s="430">
        <v>5000</v>
      </c>
      <c r="G40" s="430">
        <v>5000</v>
      </c>
      <c r="H40" s="429">
        <v>5000</v>
      </c>
      <c r="I40" s="156">
        <f t="shared" si="1"/>
        <v>3333.3333333333335</v>
      </c>
      <c r="J40" s="156">
        <f t="shared" si="2"/>
        <v>20000</v>
      </c>
      <c r="L40" s="187"/>
    </row>
    <row r="41" spans="1:12" ht="13" customHeight="1" x14ac:dyDescent="0.3">
      <c r="A41" s="427" t="str">
        <f t="shared" si="3"/>
        <v>Renouvellement des équipements et amélioration 4
 (Enveloppe annuelle pour renouvellement des équipements atelier)</v>
      </c>
      <c r="B41" s="108"/>
      <c r="C41" s="424">
        <v>0</v>
      </c>
      <c r="D41" s="430">
        <v>0</v>
      </c>
      <c r="E41" s="430">
        <v>0</v>
      </c>
      <c r="F41" s="430">
        <v>5000</v>
      </c>
      <c r="G41" s="430">
        <v>5000</v>
      </c>
      <c r="H41" s="429">
        <v>5000</v>
      </c>
      <c r="I41" s="156">
        <f t="shared" si="1"/>
        <v>2500</v>
      </c>
      <c r="J41" s="156">
        <f t="shared" si="2"/>
        <v>15000</v>
      </c>
      <c r="L41" s="187"/>
    </row>
    <row r="42" spans="1:12" ht="13" customHeight="1" x14ac:dyDescent="0.3">
      <c r="A42" s="427" t="str">
        <f t="shared" si="3"/>
        <v>Renouvellement des équipements et amélioration 5
 (Enveloppe annuelle pour renouvellement des équipements atelier)</v>
      </c>
      <c r="B42" s="108"/>
      <c r="C42" s="424">
        <v>0</v>
      </c>
      <c r="D42" s="430">
        <v>0</v>
      </c>
      <c r="E42" s="430">
        <v>0</v>
      </c>
      <c r="F42" s="430">
        <v>0</v>
      </c>
      <c r="G42" s="430">
        <v>5000</v>
      </c>
      <c r="H42" s="429">
        <v>5000</v>
      </c>
      <c r="I42" s="156">
        <f t="shared" si="1"/>
        <v>1666.6666666666667</v>
      </c>
      <c r="J42" s="156">
        <f t="shared" si="2"/>
        <v>10000</v>
      </c>
      <c r="L42" s="187"/>
    </row>
    <row r="43" spans="1:12" ht="13" customHeight="1" x14ac:dyDescent="0.3">
      <c r="A43" s="427" t="str">
        <f t="shared" si="3"/>
        <v>Renouvellement des équipements et amélioration 6
 (Enveloppe annuelle pour renouvellement des équipements atelier)</v>
      </c>
      <c r="B43" s="108"/>
      <c r="C43" s="424">
        <v>0</v>
      </c>
      <c r="D43" s="430">
        <v>0</v>
      </c>
      <c r="E43" s="430">
        <v>0</v>
      </c>
      <c r="F43" s="430">
        <v>0</v>
      </c>
      <c r="G43" s="430">
        <v>0</v>
      </c>
      <c r="H43" s="429">
        <v>5000</v>
      </c>
      <c r="I43" s="156">
        <f t="shared" si="1"/>
        <v>833.33333333333337</v>
      </c>
      <c r="J43" s="156">
        <f t="shared" si="2"/>
        <v>5000</v>
      </c>
      <c r="L43" s="187"/>
    </row>
    <row r="44" spans="1:12" ht="13" customHeight="1" x14ac:dyDescent="0.3">
      <c r="A44" s="427" t="str">
        <f t="shared" si="3"/>
        <v>Infrastructures 2024 (Socle de virtualisation, aménagement salles serveur, 
infrastructure cœur réseau, Wifi à bord, renouvellement wifi en station, 
postes de travail bureautique et industriel, centre d'appel)</v>
      </c>
      <c r="B44" s="108"/>
      <c r="C44" s="424">
        <v>52383.6</v>
      </c>
      <c r="D44" s="430">
        <v>52383.6</v>
      </c>
      <c r="E44" s="430">
        <v>52383.6</v>
      </c>
      <c r="F44" s="430">
        <v>52383.6</v>
      </c>
      <c r="G44" s="430">
        <v>52383.6</v>
      </c>
      <c r="H44" s="429">
        <v>0</v>
      </c>
      <c r="I44" s="156">
        <f t="shared" si="1"/>
        <v>43653</v>
      </c>
      <c r="J44" s="156">
        <f t="shared" si="2"/>
        <v>261918</v>
      </c>
      <c r="L44" s="187"/>
    </row>
    <row r="45" spans="1:12" ht="13" customHeight="1" x14ac:dyDescent="0.3">
      <c r="A45" s="525" t="str">
        <f t="shared" ref="A45:A58" si="4">IF(A15="","-",A15)</f>
        <v>Infrastructures 2025 (Socle de virtualisation, aménagement salles serveur
, routeurs wifi véhicules et stations,  postes de travail bureautique et industriel,renouvellement borne conducteur connecté)</v>
      </c>
      <c r="B45" s="504"/>
      <c r="C45" s="500">
        <v>0</v>
      </c>
      <c r="D45" s="505">
        <v>41270.400000000001</v>
      </c>
      <c r="E45" s="505">
        <v>41270.400000000001</v>
      </c>
      <c r="F45" s="505">
        <v>41270.400000000001</v>
      </c>
      <c r="G45" s="505">
        <v>41270.400000000001</v>
      </c>
      <c r="H45" s="506">
        <v>41270.400000000001</v>
      </c>
      <c r="I45" s="507">
        <f t="shared" ref="I45:I60" si="5">IFERROR(AVERAGE(C45:H45),0)</f>
        <v>34392</v>
      </c>
      <c r="J45" s="507">
        <f t="shared" ref="J45:J60" si="6">SUM(C45:H45)</f>
        <v>206352</v>
      </c>
      <c r="L45" s="187"/>
    </row>
    <row r="46" spans="1:12" ht="13" customHeight="1" x14ac:dyDescent="0.3">
      <c r="A46" s="503" t="str">
        <f t="shared" si="4"/>
        <v>Infrastructures 2026 
(Socle de virtualisation, renouvellement des switchs d'accès, renouvellement des PDU, postes de travail bureautiques et industriels, centre d'appel, DAC)</v>
      </c>
      <c r="B46" s="504"/>
      <c r="C46" s="500">
        <v>0</v>
      </c>
      <c r="D46" s="505">
        <v>0</v>
      </c>
      <c r="E46" s="505">
        <v>30360</v>
      </c>
      <c r="F46" s="505">
        <v>30360</v>
      </c>
      <c r="G46" s="505">
        <v>30360</v>
      </c>
      <c r="H46" s="506">
        <v>30360</v>
      </c>
      <c r="I46" s="507">
        <f t="shared" si="5"/>
        <v>20240</v>
      </c>
      <c r="J46" s="507">
        <f t="shared" si="6"/>
        <v>121440</v>
      </c>
      <c r="L46" s="187"/>
    </row>
    <row r="47" spans="1:12" ht="13" customHeight="1" x14ac:dyDescent="0.3">
      <c r="A47" s="503" t="str">
        <f t="shared" si="4"/>
        <v>Infrastructures 2027 (renouvellement infrastructure cœur de réseau, aménagement salles serveurs, postes de travail bureautique &amp; industriels, DAC)</v>
      </c>
      <c r="B47" s="504"/>
      <c r="C47" s="500">
        <v>0</v>
      </c>
      <c r="D47" s="505">
        <v>0</v>
      </c>
      <c r="E47" s="505">
        <v>0</v>
      </c>
      <c r="F47" s="505">
        <v>30000</v>
      </c>
      <c r="G47" s="505">
        <v>30000</v>
      </c>
      <c r="H47" s="506">
        <v>30000</v>
      </c>
      <c r="I47" s="507">
        <f t="shared" si="5"/>
        <v>15000</v>
      </c>
      <c r="J47" s="507">
        <f t="shared" si="6"/>
        <v>90000</v>
      </c>
      <c r="L47" s="187"/>
    </row>
    <row r="48" spans="1:12" ht="13" customHeight="1" x14ac:dyDescent="0.3">
      <c r="A48" s="503" t="str">
        <f t="shared" si="4"/>
        <v>Infrastructures 2028 (Renouvellement postes de travail bureautiqueset industriels)</v>
      </c>
      <c r="B48" s="504"/>
      <c r="C48" s="500">
        <v>0</v>
      </c>
      <c r="D48" s="505">
        <v>0</v>
      </c>
      <c r="E48" s="505">
        <v>0</v>
      </c>
      <c r="F48" s="505">
        <v>0</v>
      </c>
      <c r="G48" s="505">
        <v>8400</v>
      </c>
      <c r="H48" s="506">
        <v>8400</v>
      </c>
      <c r="I48" s="507">
        <f t="shared" si="5"/>
        <v>2800</v>
      </c>
      <c r="J48" s="507">
        <f t="shared" si="6"/>
        <v>16800</v>
      </c>
      <c r="L48" s="187"/>
    </row>
    <row r="49" spans="1:20" ht="13" customHeight="1" x14ac:dyDescent="0.3">
      <c r="A49" s="503" t="str">
        <f t="shared" si="4"/>
        <v>Infrastructures 2029  (Renouvellement postes de travail bureautiqueset industriels)</v>
      </c>
      <c r="B49" s="504"/>
      <c r="C49" s="500">
        <v>0</v>
      </c>
      <c r="D49" s="505">
        <v>0</v>
      </c>
      <c r="E49" s="505">
        <v>0</v>
      </c>
      <c r="F49" s="505">
        <v>0</v>
      </c>
      <c r="G49" s="505">
        <v>0</v>
      </c>
      <c r="H49" s="506">
        <v>6400</v>
      </c>
      <c r="I49" s="507">
        <f t="shared" si="5"/>
        <v>1066.6666666666667</v>
      </c>
      <c r="J49" s="507">
        <f t="shared" si="6"/>
        <v>6400</v>
      </c>
      <c r="L49" s="187"/>
    </row>
    <row r="50" spans="1:20" ht="13" customHeight="1" x14ac:dyDescent="0.3">
      <c r="A50" s="503" t="str">
        <f t="shared" si="4"/>
        <v>Camion de dépannage 2024 - renouvellmement des camions de dépannage atelier</v>
      </c>
      <c r="B50" s="504"/>
      <c r="C50" s="500">
        <v>15200</v>
      </c>
      <c r="D50" s="505">
        <v>15200</v>
      </c>
      <c r="E50" s="505">
        <v>15200</v>
      </c>
      <c r="F50" s="505">
        <v>15200</v>
      </c>
      <c r="G50" s="505">
        <v>15200</v>
      </c>
      <c r="H50" s="506">
        <v>0</v>
      </c>
      <c r="I50" s="507">
        <f t="shared" si="5"/>
        <v>12666.666666666666</v>
      </c>
      <c r="J50" s="507">
        <f t="shared" si="6"/>
        <v>76000</v>
      </c>
      <c r="L50" s="187"/>
    </row>
    <row r="51" spans="1:20" ht="13" customHeight="1" x14ac:dyDescent="0.3">
      <c r="A51" s="503" t="str">
        <f t="shared" si="4"/>
        <v>Camion de dépannage 2026  - renouvellmement des camions de dépannage atelier</v>
      </c>
      <c r="B51" s="504"/>
      <c r="C51" s="500">
        <v>0</v>
      </c>
      <c r="D51" s="505">
        <v>0</v>
      </c>
      <c r="E51" s="505">
        <v>7600</v>
      </c>
      <c r="F51" s="505">
        <v>7600</v>
      </c>
      <c r="G51" s="505">
        <v>7600</v>
      </c>
      <c r="H51" s="506">
        <v>7600</v>
      </c>
      <c r="I51" s="507">
        <f t="shared" si="5"/>
        <v>5066.666666666667</v>
      </c>
      <c r="J51" s="507">
        <f t="shared" si="6"/>
        <v>30400</v>
      </c>
      <c r="L51" s="187"/>
    </row>
    <row r="52" spans="1:20" ht="13" customHeight="1" x14ac:dyDescent="0.3">
      <c r="A52" s="503" t="str">
        <f t="shared" si="4"/>
        <v>Camion de dépannage 2028  - renouvellmement des camions de dépannage atelier</v>
      </c>
      <c r="B52" s="504"/>
      <c r="C52" s="500">
        <v>0</v>
      </c>
      <c r="D52" s="505">
        <v>0</v>
      </c>
      <c r="E52" s="505">
        <v>0</v>
      </c>
      <c r="F52" s="505">
        <v>0</v>
      </c>
      <c r="G52" s="505">
        <v>7600</v>
      </c>
      <c r="H52" s="506">
        <v>7600</v>
      </c>
      <c r="I52" s="507">
        <f t="shared" si="5"/>
        <v>2533.3333333333335</v>
      </c>
      <c r="J52" s="507">
        <f t="shared" si="6"/>
        <v>15200</v>
      </c>
      <c r="L52" s="187"/>
    </row>
    <row r="53" spans="1:20" ht="13" customHeight="1" x14ac:dyDescent="0.3">
      <c r="A53" s="503" t="str">
        <f t="shared" si="4"/>
        <v>Services vélos</v>
      </c>
      <c r="B53" s="504"/>
      <c r="C53" s="500">
        <v>5016</v>
      </c>
      <c r="D53" s="505">
        <v>5016</v>
      </c>
      <c r="E53" s="505">
        <v>5016</v>
      </c>
      <c r="F53" s="505">
        <v>5016</v>
      </c>
      <c r="G53" s="505">
        <v>5016</v>
      </c>
      <c r="H53" s="506">
        <v>0</v>
      </c>
      <c r="I53" s="507">
        <f t="shared" si="5"/>
        <v>4180</v>
      </c>
      <c r="J53" s="507">
        <f t="shared" si="6"/>
        <v>25080</v>
      </c>
      <c r="L53" s="187"/>
    </row>
    <row r="54" spans="1:20" ht="13" customHeight="1" x14ac:dyDescent="0.3">
      <c r="A54" s="503" t="str">
        <f t="shared" si="4"/>
        <v>Système d'information voyageur 2024 - Site internet et investissements associés</v>
      </c>
      <c r="B54" s="504"/>
      <c r="C54" s="500">
        <v>74300</v>
      </c>
      <c r="D54" s="505">
        <v>74300</v>
      </c>
      <c r="E54" s="505">
        <v>74300</v>
      </c>
      <c r="F54" s="505">
        <v>74300</v>
      </c>
      <c r="G54" s="505">
        <v>74300</v>
      </c>
      <c r="H54" s="506">
        <v>0</v>
      </c>
      <c r="I54" s="507">
        <f t="shared" si="5"/>
        <v>61916.666666666664</v>
      </c>
      <c r="J54" s="507">
        <f t="shared" si="6"/>
        <v>371500</v>
      </c>
      <c r="L54" s="187"/>
    </row>
    <row r="55" spans="1:20" ht="13" customHeight="1" x14ac:dyDescent="0.3">
      <c r="A55" s="503" t="str">
        <f t="shared" si="4"/>
        <v>Système d'information voyageur 2025 - Site internet et investissements associés</v>
      </c>
      <c r="B55" s="504"/>
      <c r="C55" s="500">
        <v>0</v>
      </c>
      <c r="D55" s="505">
        <v>17200</v>
      </c>
      <c r="E55" s="505">
        <v>17200</v>
      </c>
      <c r="F55" s="505">
        <v>17200</v>
      </c>
      <c r="G55" s="505">
        <v>17200</v>
      </c>
      <c r="H55" s="506">
        <v>17200</v>
      </c>
      <c r="I55" s="507">
        <f t="shared" si="5"/>
        <v>14333.333333333334</v>
      </c>
      <c r="J55" s="507">
        <f t="shared" si="6"/>
        <v>86000</v>
      </c>
      <c r="L55" s="187"/>
    </row>
    <row r="56" spans="1:20" ht="13" customHeight="1" x14ac:dyDescent="0.3">
      <c r="A56" s="503" t="str">
        <f t="shared" si="4"/>
        <v>Véhicule utilitaire Vélos</v>
      </c>
      <c r="B56" s="504"/>
      <c r="C56" s="500">
        <v>6400</v>
      </c>
      <c r="D56" s="505">
        <v>6400</v>
      </c>
      <c r="E56" s="505">
        <v>6400</v>
      </c>
      <c r="F56" s="505">
        <v>6400</v>
      </c>
      <c r="G56" s="505">
        <v>6400</v>
      </c>
      <c r="H56" s="506">
        <v>0</v>
      </c>
      <c r="I56" s="507">
        <f t="shared" si="5"/>
        <v>5333.333333333333</v>
      </c>
      <c r="J56" s="507">
        <f t="shared" si="6"/>
        <v>32000</v>
      </c>
      <c r="L56" s="187"/>
    </row>
    <row r="57" spans="1:20" ht="13" customHeight="1" x14ac:dyDescent="0.3">
      <c r="A57" s="503" t="str">
        <f t="shared" si="4"/>
        <v>Batteries VAE (30) et trottinettes (5)</v>
      </c>
      <c r="B57" s="504"/>
      <c r="C57" s="500">
        <v>0</v>
      </c>
      <c r="D57" s="505">
        <v>0</v>
      </c>
      <c r="E57" s="505">
        <v>3300</v>
      </c>
      <c r="F57" s="505">
        <v>3300</v>
      </c>
      <c r="G57" s="505">
        <v>3300</v>
      </c>
      <c r="H57" s="506">
        <v>3300</v>
      </c>
      <c r="I57" s="507">
        <f t="shared" si="5"/>
        <v>2200</v>
      </c>
      <c r="J57" s="507">
        <f t="shared" si="6"/>
        <v>13200</v>
      </c>
      <c r="L57" s="187"/>
    </row>
    <row r="58" spans="1:20" ht="13" customHeight="1" x14ac:dyDescent="0.3">
      <c r="A58" s="503" t="str">
        <f t="shared" si="4"/>
        <v>Batteries VAE (30) et trottinettes (5)</v>
      </c>
      <c r="B58" s="504"/>
      <c r="C58" s="500">
        <v>0</v>
      </c>
      <c r="D58" s="505">
        <v>0</v>
      </c>
      <c r="E58" s="505">
        <v>0</v>
      </c>
      <c r="F58" s="505">
        <v>3300</v>
      </c>
      <c r="G58" s="505">
        <v>3300</v>
      </c>
      <c r="H58" s="506">
        <v>3300</v>
      </c>
      <c r="I58" s="507">
        <f t="shared" si="5"/>
        <v>1650</v>
      </c>
      <c r="J58" s="507">
        <f t="shared" si="6"/>
        <v>9900</v>
      </c>
      <c r="L58" s="187"/>
    </row>
    <row r="59" spans="1:20" ht="13" customHeight="1" x14ac:dyDescent="0.3">
      <c r="A59" s="503"/>
      <c r="B59" s="504"/>
      <c r="C59" s="500"/>
      <c r="D59" s="505"/>
      <c r="E59" s="505"/>
      <c r="F59" s="505"/>
      <c r="G59" s="505"/>
      <c r="H59" s="506"/>
      <c r="I59" s="507">
        <f t="shared" si="5"/>
        <v>0</v>
      </c>
      <c r="J59" s="507">
        <f t="shared" si="6"/>
        <v>0</v>
      </c>
      <c r="L59" s="187"/>
    </row>
    <row r="60" spans="1:20" ht="13" customHeight="1" x14ac:dyDescent="0.3">
      <c r="A60" s="503"/>
      <c r="B60" s="504"/>
      <c r="C60" s="500"/>
      <c r="D60" s="505"/>
      <c r="E60" s="505"/>
      <c r="F60" s="505"/>
      <c r="G60" s="505"/>
      <c r="H60" s="506"/>
      <c r="I60" s="507">
        <f t="shared" si="5"/>
        <v>0</v>
      </c>
      <c r="J60" s="507">
        <f t="shared" si="6"/>
        <v>0</v>
      </c>
      <c r="L60" s="187"/>
    </row>
    <row r="61" spans="1:20" s="103" customFormat="1" x14ac:dyDescent="0.3">
      <c r="A61" s="18" t="s">
        <v>378</v>
      </c>
      <c r="B61" s="34"/>
      <c r="C61" s="19">
        <f>SUM(C35:C60)</f>
        <v>184883.04444444444</v>
      </c>
      <c r="D61" s="19">
        <f t="shared" ref="D61:H61" si="7">SUM(D35:D60)</f>
        <v>248353.44444444444</v>
      </c>
      <c r="E61" s="19">
        <f t="shared" si="7"/>
        <v>294613.44444444444</v>
      </c>
      <c r="F61" s="19">
        <f t="shared" si="7"/>
        <v>332913.44444444444</v>
      </c>
      <c r="G61" s="19">
        <f t="shared" si="7"/>
        <v>353913.44444444444</v>
      </c>
      <c r="H61" s="35">
        <f t="shared" si="7"/>
        <v>205013.84444444446</v>
      </c>
      <c r="I61" s="35">
        <f>IFERROR(AVERAGE(C61:H61),0)</f>
        <v>269948.44444444444</v>
      </c>
      <c r="J61" s="207">
        <f>SUM(C61:H61)</f>
        <v>1619690.6666666667</v>
      </c>
      <c r="L61" s="188" t="s">
        <v>317</v>
      </c>
      <c r="N61" s="273"/>
      <c r="O61" s="273"/>
      <c r="P61" s="273"/>
      <c r="Q61" s="273"/>
      <c r="R61" s="273"/>
      <c r="S61" s="273"/>
      <c r="T61" s="273"/>
    </row>
    <row r="62" spans="1:20" x14ac:dyDescent="0.35">
      <c r="F62" s="99"/>
      <c r="G62" s="99"/>
      <c r="H62" s="99"/>
      <c r="I62" s="99"/>
      <c r="J62" s="99"/>
    </row>
    <row r="63" spans="1:20" x14ac:dyDescent="0.35">
      <c r="E63" s="107"/>
      <c r="F63" s="95"/>
    </row>
    <row r="64" spans="1:20" x14ac:dyDescent="0.35">
      <c r="E64" s="107"/>
      <c r="F64" s="95"/>
    </row>
    <row r="65" spans="5:6" x14ac:dyDescent="0.35">
      <c r="E65" s="107"/>
      <c r="F65" s="95"/>
    </row>
    <row r="66" spans="5:6" x14ac:dyDescent="0.35">
      <c r="E66" s="107"/>
      <c r="F66" s="95"/>
    </row>
    <row r="67" spans="5:6" x14ac:dyDescent="0.35">
      <c r="E67" s="107"/>
      <c r="F67" s="95"/>
    </row>
  </sheetData>
  <mergeCells count="9">
    <mergeCell ref="A1:J1"/>
    <mergeCell ref="L33:L34"/>
    <mergeCell ref="A33:A34"/>
    <mergeCell ref="B33:B34"/>
    <mergeCell ref="A3:A4"/>
    <mergeCell ref="D3:D4"/>
    <mergeCell ref="B3:B4"/>
    <mergeCell ref="E3:E4"/>
    <mergeCell ref="C3:C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&amp;L&amp;F&amp;R&amp;A</oddHeader>
    <oddFooter>&amp;L&amp;D&amp;C&amp;P/&amp;N&amp;R&amp;T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8"/>
    <pageSetUpPr fitToPage="1"/>
  </sheetPr>
  <dimension ref="A1:L19"/>
  <sheetViews>
    <sheetView showGridLines="0" view="pageBreakPreview" zoomScale="85" zoomScaleNormal="100" zoomScaleSheetLayoutView="85" workbookViewId="0">
      <selection sqref="A1:J1"/>
    </sheetView>
  </sheetViews>
  <sheetFormatPr baseColWidth="10" defaultColWidth="10.26953125" defaultRowHeight="16.399999999999999" customHeight="1" x14ac:dyDescent="0.35"/>
  <cols>
    <col min="1" max="1" width="27.1796875" style="95" customWidth="1"/>
    <col min="2" max="2" width="9.453125" style="99" customWidth="1"/>
    <col min="3" max="3" width="10.54296875" style="99" customWidth="1"/>
    <col min="4" max="10" width="10.54296875" style="95" customWidth="1"/>
    <col min="11" max="11" width="6.7265625" style="95" customWidth="1"/>
    <col min="12" max="16384" width="10.26953125" style="95"/>
  </cols>
  <sheetData>
    <row r="1" spans="1:12" s="97" customFormat="1" ht="32.15" customHeight="1" x14ac:dyDescent="0.35">
      <c r="A1" s="711" t="s">
        <v>380</v>
      </c>
      <c r="B1" s="712"/>
      <c r="C1" s="712"/>
      <c r="D1" s="712"/>
      <c r="E1" s="712"/>
      <c r="F1" s="712"/>
      <c r="G1" s="712"/>
      <c r="H1" s="712"/>
      <c r="I1" s="712"/>
      <c r="J1" s="713"/>
    </row>
    <row r="2" spans="1:12" ht="16.399999999999999" customHeight="1" x14ac:dyDescent="0.3">
      <c r="A2" s="98"/>
      <c r="B2" s="98"/>
      <c r="C2" s="98"/>
      <c r="D2" s="98"/>
      <c r="E2" s="98"/>
      <c r="F2" s="98"/>
      <c r="G2" s="98"/>
      <c r="H2" s="98"/>
      <c r="I2" s="98"/>
    </row>
    <row r="3" spans="1:12" ht="16.399999999999999" customHeight="1" x14ac:dyDescent="0.35">
      <c r="A3" s="114"/>
      <c r="B3" s="113"/>
      <c r="C3" s="113"/>
      <c r="D3" s="113"/>
      <c r="E3" s="113"/>
      <c r="F3" s="113"/>
      <c r="G3" s="113"/>
    </row>
    <row r="4" spans="1:12" ht="26.5" customHeight="1" x14ac:dyDescent="0.35">
      <c r="A4" s="691" t="s">
        <v>210</v>
      </c>
      <c r="B4" s="678"/>
      <c r="C4" s="3">
        <f>Annee</f>
        <v>2024</v>
      </c>
      <c r="D4" s="291">
        <f>C4+1</f>
        <v>2025</v>
      </c>
      <c r="E4" s="291">
        <f t="shared" ref="E4:G4" si="0">D4+1</f>
        <v>2026</v>
      </c>
      <c r="F4" s="291">
        <f t="shared" si="0"/>
        <v>2027</v>
      </c>
      <c r="G4" s="291">
        <f t="shared" si="0"/>
        <v>2028</v>
      </c>
      <c r="H4" s="295">
        <f>G4+1</f>
        <v>2029</v>
      </c>
      <c r="I4" s="179" t="s">
        <v>271</v>
      </c>
      <c r="J4" s="4" t="s">
        <v>62</v>
      </c>
      <c r="L4" s="683" t="s">
        <v>305</v>
      </c>
    </row>
    <row r="5" spans="1:12" ht="13" x14ac:dyDescent="0.35">
      <c r="A5" s="694"/>
      <c r="B5" s="679"/>
      <c r="C5" s="77">
        <v>12</v>
      </c>
      <c r="D5" s="77">
        <v>12</v>
      </c>
      <c r="E5" s="77">
        <v>12</v>
      </c>
      <c r="F5" s="77">
        <v>12</v>
      </c>
      <c r="G5" s="77">
        <v>12</v>
      </c>
      <c r="H5" s="77">
        <v>12</v>
      </c>
      <c r="I5" s="78">
        <f t="shared" ref="I5" si="1">IFERROR(AVERAGE(C5:H5),0)</f>
        <v>12</v>
      </c>
      <c r="J5" s="78">
        <f t="shared" ref="J5" si="2">SUM(C5:H5)</f>
        <v>72</v>
      </c>
      <c r="L5" s="684"/>
    </row>
    <row r="6" spans="1:12" ht="13" x14ac:dyDescent="0.3">
      <c r="A6" s="418" t="s">
        <v>544</v>
      </c>
      <c r="B6" s="108"/>
      <c r="C6" s="424">
        <v>370000</v>
      </c>
      <c r="D6" s="428">
        <v>370000</v>
      </c>
      <c r="E6" s="428">
        <v>370000</v>
      </c>
      <c r="F6" s="428">
        <v>370000</v>
      </c>
      <c r="G6" s="428">
        <v>370000</v>
      </c>
      <c r="H6" s="429">
        <v>370000</v>
      </c>
      <c r="I6" s="156">
        <f t="shared" ref="I6:I16" si="3">IFERROR(AVERAGE(C6:H6),0)</f>
        <v>370000</v>
      </c>
      <c r="J6" s="156">
        <f t="shared" ref="J6:J16" si="4">SUM(C6:H6)</f>
        <v>2220000</v>
      </c>
      <c r="L6" s="186"/>
    </row>
    <row r="7" spans="1:12" ht="13" x14ac:dyDescent="0.3">
      <c r="A7" s="418"/>
      <c r="B7" s="108"/>
      <c r="C7" s="424"/>
      <c r="D7" s="430"/>
      <c r="E7" s="430"/>
      <c r="F7" s="430"/>
      <c r="G7" s="430"/>
      <c r="H7" s="429"/>
      <c r="I7" s="156">
        <f t="shared" si="3"/>
        <v>0</v>
      </c>
      <c r="J7" s="156">
        <f t="shared" si="4"/>
        <v>0</v>
      </c>
      <c r="L7" s="187"/>
    </row>
    <row r="8" spans="1:12" s="103" customFormat="1" ht="13" x14ac:dyDescent="0.3">
      <c r="A8" s="418"/>
      <c r="B8" s="108"/>
      <c r="C8" s="424"/>
      <c r="D8" s="430"/>
      <c r="E8" s="430"/>
      <c r="F8" s="430"/>
      <c r="G8" s="430"/>
      <c r="H8" s="429"/>
      <c r="I8" s="156">
        <f t="shared" si="3"/>
        <v>0</v>
      </c>
      <c r="J8" s="156">
        <f t="shared" si="4"/>
        <v>0</v>
      </c>
      <c r="L8" s="187"/>
    </row>
    <row r="9" spans="1:12" ht="13" x14ac:dyDescent="0.3">
      <c r="A9" s="418"/>
      <c r="B9" s="108"/>
      <c r="C9" s="424"/>
      <c r="D9" s="430"/>
      <c r="E9" s="430"/>
      <c r="F9" s="430"/>
      <c r="G9" s="430"/>
      <c r="H9" s="429"/>
      <c r="I9" s="156">
        <f t="shared" si="3"/>
        <v>0</v>
      </c>
      <c r="J9" s="156">
        <f t="shared" si="4"/>
        <v>0</v>
      </c>
      <c r="L9" s="187"/>
    </row>
    <row r="10" spans="1:12" ht="13" x14ac:dyDescent="0.3">
      <c r="A10" s="418"/>
      <c r="B10" s="108"/>
      <c r="C10" s="424"/>
      <c r="D10" s="430"/>
      <c r="E10" s="430"/>
      <c r="F10" s="430"/>
      <c r="G10" s="430"/>
      <c r="H10" s="429"/>
      <c r="I10" s="156">
        <f t="shared" si="3"/>
        <v>0</v>
      </c>
      <c r="J10" s="156">
        <f t="shared" si="4"/>
        <v>0</v>
      </c>
      <c r="L10" s="187"/>
    </row>
    <row r="11" spans="1:12" ht="13" x14ac:dyDescent="0.3">
      <c r="A11" s="418"/>
      <c r="B11" s="108"/>
      <c r="C11" s="424"/>
      <c r="D11" s="430"/>
      <c r="E11" s="430"/>
      <c r="F11" s="430"/>
      <c r="G11" s="430"/>
      <c r="H11" s="429"/>
      <c r="I11" s="156">
        <f t="shared" si="3"/>
        <v>0</v>
      </c>
      <c r="J11" s="156">
        <f t="shared" si="4"/>
        <v>0</v>
      </c>
      <c r="L11" s="187"/>
    </row>
    <row r="12" spans="1:12" ht="13" x14ac:dyDescent="0.3">
      <c r="A12" s="418"/>
      <c r="B12" s="108"/>
      <c r="C12" s="424"/>
      <c r="D12" s="430"/>
      <c r="E12" s="430"/>
      <c r="F12" s="430"/>
      <c r="G12" s="430"/>
      <c r="H12" s="429"/>
      <c r="I12" s="156">
        <f t="shared" si="3"/>
        <v>0</v>
      </c>
      <c r="J12" s="156">
        <f t="shared" si="4"/>
        <v>0</v>
      </c>
      <c r="L12" s="187"/>
    </row>
    <row r="13" spans="1:12" ht="13" x14ac:dyDescent="0.3">
      <c r="A13" s="418"/>
      <c r="B13" s="108"/>
      <c r="C13" s="424"/>
      <c r="D13" s="430"/>
      <c r="E13" s="430"/>
      <c r="F13" s="430"/>
      <c r="G13" s="430"/>
      <c r="H13" s="429"/>
      <c r="I13" s="156">
        <f t="shared" si="3"/>
        <v>0</v>
      </c>
      <c r="J13" s="156">
        <f t="shared" si="4"/>
        <v>0</v>
      </c>
      <c r="L13" s="187"/>
    </row>
    <row r="14" spans="1:12" ht="13" x14ac:dyDescent="0.3">
      <c r="A14" s="418"/>
      <c r="B14" s="108"/>
      <c r="C14" s="424"/>
      <c r="D14" s="430"/>
      <c r="E14" s="431"/>
      <c r="F14" s="431"/>
      <c r="G14" s="431"/>
      <c r="H14" s="432"/>
      <c r="I14" s="156">
        <f t="shared" si="3"/>
        <v>0</v>
      </c>
      <c r="J14" s="156">
        <f t="shared" si="4"/>
        <v>0</v>
      </c>
      <c r="L14" s="187"/>
    </row>
    <row r="15" spans="1:12" ht="13" x14ac:dyDescent="0.3">
      <c r="A15" s="418"/>
      <c r="B15" s="108"/>
      <c r="C15" s="424"/>
      <c r="D15" s="430"/>
      <c r="E15" s="431"/>
      <c r="F15" s="431"/>
      <c r="G15" s="431"/>
      <c r="H15" s="432"/>
      <c r="I15" s="156">
        <f t="shared" si="3"/>
        <v>0</v>
      </c>
      <c r="J15" s="156">
        <f t="shared" si="4"/>
        <v>0</v>
      </c>
      <c r="L15" s="187"/>
    </row>
    <row r="16" spans="1:12" ht="13" x14ac:dyDescent="0.3">
      <c r="A16" s="433" t="s">
        <v>379</v>
      </c>
      <c r="B16" s="420"/>
      <c r="C16" s="420">
        <f>SUM(C6:C15)</f>
        <v>370000</v>
      </c>
      <c r="D16" s="434">
        <f t="shared" ref="D16:H16" si="5">SUM(D6:D15)</f>
        <v>370000</v>
      </c>
      <c r="E16" s="434">
        <f t="shared" si="5"/>
        <v>370000</v>
      </c>
      <c r="F16" s="434">
        <f t="shared" si="5"/>
        <v>370000</v>
      </c>
      <c r="G16" s="434">
        <f t="shared" si="5"/>
        <v>370000</v>
      </c>
      <c r="H16" s="435">
        <f t="shared" si="5"/>
        <v>370000</v>
      </c>
      <c r="I16" s="435">
        <f t="shared" si="3"/>
        <v>370000</v>
      </c>
      <c r="J16" s="435">
        <f t="shared" si="4"/>
        <v>2220000</v>
      </c>
      <c r="L16" s="188"/>
    </row>
    <row r="17" spans="1:7" ht="16.399999999999999" customHeight="1" x14ac:dyDescent="0.35">
      <c r="A17" s="113"/>
      <c r="B17" s="113"/>
      <c r="C17" s="113"/>
      <c r="D17" s="113"/>
      <c r="E17" s="113"/>
      <c r="F17" s="113"/>
      <c r="G17" s="113"/>
    </row>
    <row r="18" spans="1:7" ht="16.399999999999999" customHeight="1" x14ac:dyDescent="0.35">
      <c r="A18" s="113"/>
      <c r="B18" s="113"/>
      <c r="C18" s="113"/>
      <c r="D18" s="113"/>
      <c r="E18" s="113"/>
      <c r="F18" s="113"/>
      <c r="G18" s="113"/>
    </row>
    <row r="19" spans="1:7" ht="16.399999999999999" customHeight="1" x14ac:dyDescent="0.35">
      <c r="A19" s="113"/>
      <c r="B19" s="113"/>
      <c r="C19" s="113"/>
      <c r="D19" s="113"/>
      <c r="E19" s="113"/>
      <c r="F19" s="113"/>
      <c r="G19" s="113"/>
    </row>
  </sheetData>
  <mergeCells count="4">
    <mergeCell ref="A4:A5"/>
    <mergeCell ref="B4:B5"/>
    <mergeCell ref="A1:J1"/>
    <mergeCell ref="L4:L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&amp;L&amp;F&amp;R&amp;A</oddHeader>
    <oddFooter>&amp;L&amp;D&amp;C&amp;P/&amp;N&amp;R&amp;T</oddFooter>
  </headerFooter>
  <ignoredErrors>
    <ignoredError sqref="C16:H16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8"/>
    <pageSetUpPr fitToPage="1"/>
  </sheetPr>
  <dimension ref="A1:DE90"/>
  <sheetViews>
    <sheetView showGridLines="0" view="pageBreakPreview" zoomScale="85" zoomScaleNormal="100" zoomScaleSheetLayoutView="85" workbookViewId="0">
      <pane xSplit="1" ySplit="6" topLeftCell="B7" activePane="bottomRight" state="frozen"/>
      <selection sqref="A1:H1"/>
      <selection pane="topRight" sqref="A1:H1"/>
      <selection pane="bottomLeft" sqref="A1:H1"/>
      <selection pane="bottomRight" sqref="A1:B1"/>
    </sheetView>
  </sheetViews>
  <sheetFormatPr baseColWidth="10" defaultColWidth="11.453125" defaultRowHeight="14.5" x14ac:dyDescent="0.35"/>
  <cols>
    <col min="1" max="1" width="33.7265625" style="29" customWidth="1"/>
    <col min="2" max="2" width="8" style="11" customWidth="1"/>
    <col min="3" max="3" width="14.1796875" style="11" bestFit="1" customWidth="1"/>
    <col min="4" max="4" width="14" style="11" bestFit="1" customWidth="1"/>
    <col min="5" max="5" width="14.81640625" style="11" bestFit="1" customWidth="1"/>
    <col min="6" max="6" width="14.1796875" style="11" bestFit="1" customWidth="1"/>
    <col min="7" max="8" width="14.81640625" style="11" bestFit="1" customWidth="1"/>
    <col min="9" max="10" width="12.1796875" style="11" customWidth="1"/>
    <col min="11" max="11" width="8.1796875" bestFit="1" customWidth="1"/>
    <col min="12" max="12" width="14.1796875" style="11" bestFit="1" customWidth="1"/>
    <col min="13" max="13" width="14" style="11" bestFit="1" customWidth="1"/>
    <col min="14" max="14" width="14.81640625" style="11" bestFit="1" customWidth="1"/>
    <col min="15" max="15" width="14.1796875" style="11" bestFit="1" customWidth="1"/>
    <col min="16" max="17" width="14.81640625" style="11" bestFit="1" customWidth="1"/>
    <col min="18" max="19" width="12.1796875" style="11" customWidth="1"/>
    <col min="20" max="20" width="6.7265625" customWidth="1"/>
    <col min="21" max="21" width="14.1796875" style="11" bestFit="1" customWidth="1"/>
    <col min="22" max="22" width="14" style="11" bestFit="1" customWidth="1"/>
    <col min="23" max="23" width="14.81640625" style="11" bestFit="1" customWidth="1"/>
    <col min="24" max="24" width="14.1796875" style="11" bestFit="1" customWidth="1"/>
    <col min="25" max="26" width="14.81640625" style="11" bestFit="1" customWidth="1"/>
    <col min="27" max="28" width="12.1796875" style="11" customWidth="1"/>
    <col min="29" max="29" width="6.7265625" customWidth="1"/>
    <col min="30" max="30" width="14.1796875" style="11" bestFit="1" customWidth="1"/>
    <col min="31" max="31" width="14" style="11" bestFit="1" customWidth="1"/>
    <col min="32" max="32" width="14.81640625" style="11" bestFit="1" customWidth="1"/>
    <col min="33" max="33" width="14.1796875" style="11" bestFit="1" customWidth="1"/>
    <col min="34" max="35" width="14.81640625" style="11" bestFit="1" customWidth="1"/>
    <col min="36" max="37" width="12.1796875" style="11" customWidth="1"/>
    <col min="38" max="38" width="6.7265625" customWidth="1"/>
    <col min="39" max="39" width="14.1796875" style="11" bestFit="1" customWidth="1"/>
    <col min="40" max="40" width="14" style="11" bestFit="1" customWidth="1"/>
    <col min="41" max="41" width="14.81640625" style="11" bestFit="1" customWidth="1"/>
    <col min="42" max="42" width="14.1796875" style="11" bestFit="1" customWidth="1"/>
    <col min="43" max="44" width="14.81640625" style="11" bestFit="1" customWidth="1"/>
    <col min="45" max="46" width="12.1796875" style="11" customWidth="1"/>
    <col min="47" max="47" width="6.7265625" customWidth="1"/>
    <col min="48" max="48" width="14.1796875" style="11" bestFit="1" customWidth="1"/>
    <col min="49" max="49" width="14" style="11" bestFit="1" customWidth="1"/>
    <col min="50" max="50" width="14.81640625" style="11" bestFit="1" customWidth="1"/>
    <col min="51" max="51" width="14.1796875" style="11" bestFit="1" customWidth="1"/>
    <col min="52" max="53" width="14.81640625" style="11" bestFit="1" customWidth="1"/>
    <col min="54" max="55" width="12.1796875" style="11" customWidth="1"/>
    <col min="56" max="56" width="6.7265625" customWidth="1"/>
    <col min="57" max="57" width="14.1796875" style="11" bestFit="1" customWidth="1"/>
    <col min="58" max="58" width="14" style="11" bestFit="1" customWidth="1"/>
    <col min="59" max="59" width="14.81640625" style="11" bestFit="1" customWidth="1"/>
    <col min="60" max="60" width="14.1796875" style="11" bestFit="1" customWidth="1"/>
    <col min="61" max="62" width="14.81640625" style="11" bestFit="1" customWidth="1"/>
    <col min="63" max="64" width="12.1796875" style="11" customWidth="1"/>
    <col min="65" max="65" width="6.7265625" customWidth="1"/>
    <col min="66" max="66" width="14.1796875" style="11" bestFit="1" customWidth="1"/>
    <col min="67" max="67" width="14" style="11" bestFit="1" customWidth="1"/>
    <col min="68" max="68" width="14.81640625" style="11" bestFit="1" customWidth="1"/>
    <col min="69" max="69" width="14.1796875" style="11" bestFit="1" customWidth="1"/>
    <col min="70" max="71" width="14.81640625" style="11" bestFit="1" customWidth="1"/>
    <col min="72" max="73" width="12.1796875" style="11" customWidth="1"/>
    <col min="74" max="74" width="6.7265625" customWidth="1"/>
    <col min="75" max="75" width="27.81640625" bestFit="1" customWidth="1"/>
    <col min="76" max="82" width="15.26953125" style="276" bestFit="1" customWidth="1"/>
    <col min="83" max="83" width="13.1796875" style="275" bestFit="1" customWidth="1"/>
    <col min="84" max="84" width="8.7265625" style="275" bestFit="1" customWidth="1"/>
    <col min="85" max="91" width="11.453125" style="275"/>
  </cols>
  <sheetData>
    <row r="1" spans="1:75" ht="24.75" customHeight="1" x14ac:dyDescent="0.35">
      <c r="A1" s="680" t="s">
        <v>521</v>
      </c>
      <c r="B1" s="681"/>
      <c r="C1" s="689" t="s">
        <v>453</v>
      </c>
      <c r="D1" s="689"/>
      <c r="E1" s="689"/>
      <c r="F1" s="689"/>
      <c r="G1" s="689"/>
      <c r="H1" s="689"/>
      <c r="I1" s="689"/>
      <c r="J1" s="690"/>
      <c r="L1" s="700" t="s">
        <v>454</v>
      </c>
      <c r="M1" s="689"/>
      <c r="N1" s="689"/>
      <c r="O1" s="689"/>
      <c r="P1" s="689"/>
      <c r="Q1" s="689"/>
      <c r="R1" s="689"/>
      <c r="S1" s="690"/>
      <c r="U1" s="700" t="s">
        <v>455</v>
      </c>
      <c r="V1" s="689"/>
      <c r="W1" s="689"/>
      <c r="X1" s="689"/>
      <c r="Y1" s="689"/>
      <c r="Z1" s="689"/>
      <c r="AA1" s="689"/>
      <c r="AB1" s="690"/>
      <c r="AD1" s="700" t="s">
        <v>456</v>
      </c>
      <c r="AE1" s="689"/>
      <c r="AF1" s="689"/>
      <c r="AG1" s="689"/>
      <c r="AH1" s="689"/>
      <c r="AI1" s="689"/>
      <c r="AJ1" s="689"/>
      <c r="AK1" s="690"/>
      <c r="AM1" s="700" t="s">
        <v>457</v>
      </c>
      <c r="AN1" s="689"/>
      <c r="AO1" s="689"/>
      <c r="AP1" s="689"/>
      <c r="AQ1" s="689"/>
      <c r="AR1" s="689"/>
      <c r="AS1" s="689"/>
      <c r="AT1" s="690"/>
      <c r="AV1" s="714" t="s">
        <v>500</v>
      </c>
      <c r="AW1" s="715"/>
      <c r="AX1" s="715"/>
      <c r="AY1" s="715"/>
      <c r="AZ1" s="715"/>
      <c r="BA1" s="715"/>
      <c r="BB1" s="715"/>
      <c r="BC1" s="716"/>
      <c r="BE1" s="714" t="s">
        <v>501</v>
      </c>
      <c r="BF1" s="715"/>
      <c r="BG1" s="715"/>
      <c r="BH1" s="715"/>
      <c r="BI1" s="715"/>
      <c r="BJ1" s="715"/>
      <c r="BK1" s="715"/>
      <c r="BL1" s="716"/>
      <c r="BN1" s="714" t="s">
        <v>502</v>
      </c>
      <c r="BO1" s="715"/>
      <c r="BP1" s="715"/>
      <c r="BQ1" s="715"/>
      <c r="BR1" s="715"/>
      <c r="BS1" s="715"/>
      <c r="BT1" s="715"/>
      <c r="BU1" s="716"/>
    </row>
    <row r="3" spans="1:75" x14ac:dyDescent="0.35">
      <c r="A3" s="42" t="s">
        <v>74</v>
      </c>
      <c r="B3" s="43"/>
      <c r="C3" s="44"/>
      <c r="D3" s="44"/>
      <c r="E3" s="44"/>
      <c r="F3" s="44"/>
      <c r="G3" s="44"/>
      <c r="H3" s="44"/>
      <c r="I3" s="44"/>
      <c r="J3" s="44"/>
      <c r="L3" s="44"/>
      <c r="M3" s="44"/>
      <c r="N3" s="44"/>
      <c r="O3" s="44"/>
      <c r="P3" s="44"/>
      <c r="Q3" s="44"/>
      <c r="R3" s="44"/>
      <c r="S3" s="44"/>
      <c r="U3" s="44"/>
      <c r="V3" s="44"/>
      <c r="W3" s="44"/>
      <c r="X3" s="44"/>
      <c r="Y3" s="44"/>
      <c r="Z3" s="44"/>
      <c r="AA3" s="44"/>
      <c r="AB3" s="44"/>
      <c r="AD3" s="44"/>
      <c r="AE3" s="44"/>
      <c r="AF3" s="44"/>
      <c r="AG3" s="44"/>
      <c r="AH3" s="44"/>
      <c r="AI3" s="44"/>
      <c r="AJ3" s="44"/>
      <c r="AK3" s="44"/>
      <c r="AM3" s="44"/>
      <c r="AN3" s="44"/>
      <c r="AO3" s="44"/>
      <c r="AP3" s="44"/>
      <c r="AQ3" s="44"/>
      <c r="AR3" s="44"/>
      <c r="AS3" s="44"/>
      <c r="AT3" s="44"/>
      <c r="AV3" s="44"/>
      <c r="AW3" s="44"/>
      <c r="AX3" s="44"/>
      <c r="AY3" s="44"/>
      <c r="AZ3" s="44"/>
      <c r="BA3" s="44"/>
      <c r="BB3" s="44"/>
      <c r="BC3" s="44"/>
      <c r="BE3" s="44"/>
      <c r="BF3" s="44"/>
      <c r="BG3" s="44"/>
      <c r="BH3" s="44"/>
      <c r="BI3" s="44"/>
      <c r="BJ3" s="44"/>
      <c r="BK3" s="44"/>
      <c r="BL3" s="44"/>
      <c r="BN3" s="44"/>
      <c r="BO3" s="44"/>
      <c r="BP3" s="44"/>
      <c r="BQ3" s="44"/>
      <c r="BR3" s="44"/>
      <c r="BS3" s="44"/>
      <c r="BT3" s="44"/>
      <c r="BU3" s="44"/>
    </row>
    <row r="4" spans="1:75" x14ac:dyDescent="0.35">
      <c r="A4"/>
      <c r="B4"/>
      <c r="C4"/>
      <c r="D4"/>
      <c r="E4"/>
      <c r="F4"/>
      <c r="G4"/>
      <c r="H4"/>
      <c r="I4" s="158"/>
      <c r="J4"/>
      <c r="L4"/>
      <c r="M4"/>
      <c r="N4"/>
      <c r="O4"/>
      <c r="P4"/>
      <c r="Q4"/>
      <c r="R4" s="158"/>
      <c r="S4"/>
      <c r="U4"/>
      <c r="V4"/>
      <c r="W4"/>
      <c r="X4"/>
      <c r="Y4"/>
      <c r="Z4"/>
      <c r="AA4" s="158"/>
      <c r="AB4"/>
      <c r="AD4"/>
      <c r="AE4"/>
      <c r="AF4"/>
      <c r="AG4"/>
      <c r="AH4"/>
      <c r="AI4"/>
      <c r="AJ4" s="158"/>
      <c r="AK4"/>
      <c r="AM4"/>
      <c r="AN4"/>
      <c r="AO4"/>
      <c r="AP4"/>
      <c r="AQ4"/>
      <c r="AR4"/>
      <c r="AS4" s="158"/>
      <c r="AT4"/>
      <c r="AV4"/>
      <c r="AW4"/>
      <c r="AX4"/>
      <c r="AY4"/>
      <c r="AZ4"/>
      <c r="BA4"/>
      <c r="BB4" s="158"/>
      <c r="BC4"/>
      <c r="BE4"/>
      <c r="BF4"/>
      <c r="BG4"/>
      <c r="BH4"/>
      <c r="BI4"/>
      <c r="BJ4"/>
      <c r="BK4" s="158"/>
      <c r="BL4"/>
      <c r="BN4"/>
      <c r="BO4"/>
      <c r="BP4"/>
      <c r="BQ4"/>
      <c r="BR4"/>
      <c r="BS4"/>
      <c r="BT4" s="158"/>
      <c r="BU4"/>
    </row>
    <row r="5" spans="1:75" ht="24.65" customHeight="1" x14ac:dyDescent="0.35">
      <c r="A5" s="678" t="s">
        <v>108</v>
      </c>
      <c r="B5" s="678"/>
      <c r="C5" s="3">
        <f>Annee</f>
        <v>2024</v>
      </c>
      <c r="D5" s="291">
        <f>C5+1</f>
        <v>2025</v>
      </c>
      <c r="E5" s="291">
        <f t="shared" ref="E5:G5" si="0">D5+1</f>
        <v>2026</v>
      </c>
      <c r="F5" s="291">
        <f t="shared" si="0"/>
        <v>2027</v>
      </c>
      <c r="G5" s="291">
        <f t="shared" si="0"/>
        <v>2028</v>
      </c>
      <c r="H5" s="295">
        <f>G5+1</f>
        <v>2029</v>
      </c>
      <c r="I5" s="179" t="s">
        <v>271</v>
      </c>
      <c r="J5" s="4" t="s">
        <v>62</v>
      </c>
      <c r="L5" s="3">
        <f>Annee</f>
        <v>2024</v>
      </c>
      <c r="M5" s="291">
        <f>L5+1</f>
        <v>2025</v>
      </c>
      <c r="N5" s="291">
        <f t="shared" ref="N5:P5" si="1">M5+1</f>
        <v>2026</v>
      </c>
      <c r="O5" s="291">
        <f t="shared" si="1"/>
        <v>2027</v>
      </c>
      <c r="P5" s="291">
        <f t="shared" si="1"/>
        <v>2028</v>
      </c>
      <c r="Q5" s="295">
        <f>P5+1</f>
        <v>2029</v>
      </c>
      <c r="R5" s="179" t="s">
        <v>271</v>
      </c>
      <c r="S5" s="4" t="s">
        <v>62</v>
      </c>
      <c r="U5" s="3">
        <f>Annee</f>
        <v>2024</v>
      </c>
      <c r="V5" s="291">
        <f>U5+1</f>
        <v>2025</v>
      </c>
      <c r="W5" s="291">
        <f t="shared" ref="W5:Y5" si="2">V5+1</f>
        <v>2026</v>
      </c>
      <c r="X5" s="291">
        <f t="shared" si="2"/>
        <v>2027</v>
      </c>
      <c r="Y5" s="291">
        <f t="shared" si="2"/>
        <v>2028</v>
      </c>
      <c r="Z5" s="295">
        <f>Y5+1</f>
        <v>2029</v>
      </c>
      <c r="AA5" s="179" t="s">
        <v>271</v>
      </c>
      <c r="AB5" s="4" t="s">
        <v>62</v>
      </c>
      <c r="AD5" s="3">
        <f>Annee</f>
        <v>2024</v>
      </c>
      <c r="AE5" s="291">
        <f>AD5+1</f>
        <v>2025</v>
      </c>
      <c r="AF5" s="291">
        <f t="shared" ref="AF5:AH5" si="3">AE5+1</f>
        <v>2026</v>
      </c>
      <c r="AG5" s="291">
        <f t="shared" si="3"/>
        <v>2027</v>
      </c>
      <c r="AH5" s="291">
        <f t="shared" si="3"/>
        <v>2028</v>
      </c>
      <c r="AI5" s="295">
        <f>AH5+1</f>
        <v>2029</v>
      </c>
      <c r="AJ5" s="179" t="s">
        <v>271</v>
      </c>
      <c r="AK5" s="4" t="s">
        <v>62</v>
      </c>
      <c r="AM5" s="3">
        <f>Annee</f>
        <v>2024</v>
      </c>
      <c r="AN5" s="291">
        <f>AM5+1</f>
        <v>2025</v>
      </c>
      <c r="AO5" s="291">
        <f t="shared" ref="AO5:AQ5" si="4">AN5+1</f>
        <v>2026</v>
      </c>
      <c r="AP5" s="291">
        <f t="shared" si="4"/>
        <v>2027</v>
      </c>
      <c r="AQ5" s="291">
        <f t="shared" si="4"/>
        <v>2028</v>
      </c>
      <c r="AR5" s="295">
        <f>AQ5+1</f>
        <v>2029</v>
      </c>
      <c r="AS5" s="179" t="s">
        <v>271</v>
      </c>
      <c r="AT5" s="4" t="s">
        <v>62</v>
      </c>
      <c r="AV5" s="291">
        <f>Annee</f>
        <v>2024</v>
      </c>
      <c r="AW5" s="291">
        <f>AV5+1</f>
        <v>2025</v>
      </c>
      <c r="AX5" s="291">
        <f t="shared" ref="AX5:AZ5" si="5">AW5+1</f>
        <v>2026</v>
      </c>
      <c r="AY5" s="291">
        <f t="shared" si="5"/>
        <v>2027</v>
      </c>
      <c r="AZ5" s="291">
        <f t="shared" si="5"/>
        <v>2028</v>
      </c>
      <c r="BA5" s="295">
        <f>AZ5+1</f>
        <v>2029</v>
      </c>
      <c r="BB5" s="179" t="s">
        <v>271</v>
      </c>
      <c r="BC5" s="4" t="s">
        <v>62</v>
      </c>
      <c r="BE5" s="291">
        <f>Annee</f>
        <v>2024</v>
      </c>
      <c r="BF5" s="291">
        <f>BE5+1</f>
        <v>2025</v>
      </c>
      <c r="BG5" s="291">
        <f t="shared" ref="BG5:BI5" si="6">BF5+1</f>
        <v>2026</v>
      </c>
      <c r="BH5" s="291">
        <f t="shared" si="6"/>
        <v>2027</v>
      </c>
      <c r="BI5" s="291">
        <f t="shared" si="6"/>
        <v>2028</v>
      </c>
      <c r="BJ5" s="295">
        <f>BI5+1</f>
        <v>2029</v>
      </c>
      <c r="BK5" s="179" t="s">
        <v>271</v>
      </c>
      <c r="BL5" s="4" t="s">
        <v>62</v>
      </c>
      <c r="BN5" s="291">
        <f>Annee</f>
        <v>2024</v>
      </c>
      <c r="BO5" s="291">
        <f>BN5+1</f>
        <v>2025</v>
      </c>
      <c r="BP5" s="291">
        <f t="shared" ref="BP5:BR5" si="7">BO5+1</f>
        <v>2026</v>
      </c>
      <c r="BQ5" s="291">
        <f t="shared" si="7"/>
        <v>2027</v>
      </c>
      <c r="BR5" s="291">
        <f t="shared" si="7"/>
        <v>2028</v>
      </c>
      <c r="BS5" s="295">
        <f>BR5+1</f>
        <v>2029</v>
      </c>
      <c r="BT5" s="179" t="s">
        <v>271</v>
      </c>
      <c r="BU5" s="4" t="s">
        <v>62</v>
      </c>
      <c r="BW5" s="683" t="s">
        <v>305</v>
      </c>
    </row>
    <row r="6" spans="1:75" x14ac:dyDescent="0.35">
      <c r="A6" s="679"/>
      <c r="B6" s="679"/>
      <c r="C6" s="77">
        <v>12</v>
      </c>
      <c r="D6" s="77">
        <v>12</v>
      </c>
      <c r="E6" s="77">
        <v>12</v>
      </c>
      <c r="F6" s="77">
        <v>12</v>
      </c>
      <c r="G6" s="77">
        <v>12</v>
      </c>
      <c r="H6" s="77">
        <v>12</v>
      </c>
      <c r="I6" s="78">
        <f t="shared" ref="I6:I16" si="8">IFERROR(AVERAGE(C6:H6),0)</f>
        <v>12</v>
      </c>
      <c r="J6" s="78">
        <f t="shared" ref="J6:J16" si="9">SUM(C6:H6)</f>
        <v>72</v>
      </c>
      <c r="L6" s="77">
        <v>12</v>
      </c>
      <c r="M6" s="77">
        <v>12</v>
      </c>
      <c r="N6" s="77">
        <v>12</v>
      </c>
      <c r="O6" s="77">
        <v>12</v>
      </c>
      <c r="P6" s="77">
        <v>12</v>
      </c>
      <c r="Q6" s="77">
        <v>12</v>
      </c>
      <c r="R6" s="78">
        <f t="shared" ref="R6:R16" si="10">IFERROR(AVERAGE(L6:Q6),0)</f>
        <v>12</v>
      </c>
      <c r="S6" s="78">
        <f t="shared" ref="S6:S16" si="11">SUM(L6:Q6)</f>
        <v>72</v>
      </c>
      <c r="U6" s="77">
        <v>12</v>
      </c>
      <c r="V6" s="77">
        <v>12</v>
      </c>
      <c r="W6" s="77">
        <v>12</v>
      </c>
      <c r="X6" s="77">
        <v>12</v>
      </c>
      <c r="Y6" s="77">
        <v>12</v>
      </c>
      <c r="Z6" s="77">
        <v>12</v>
      </c>
      <c r="AA6" s="78">
        <f t="shared" ref="AA6:AA16" si="12">IFERROR(AVERAGE(U6:Z6),0)</f>
        <v>12</v>
      </c>
      <c r="AB6" s="78">
        <f t="shared" ref="AB6:AB16" si="13">SUM(U6:Z6)</f>
        <v>72</v>
      </c>
      <c r="AD6" s="77">
        <v>12</v>
      </c>
      <c r="AE6" s="77">
        <v>12</v>
      </c>
      <c r="AF6" s="77">
        <v>12</v>
      </c>
      <c r="AG6" s="77">
        <v>12</v>
      </c>
      <c r="AH6" s="77">
        <v>12</v>
      </c>
      <c r="AI6" s="77">
        <v>12</v>
      </c>
      <c r="AJ6" s="78">
        <f t="shared" ref="AJ6:AJ16" si="14">IFERROR(AVERAGE(AD6:AI6),0)</f>
        <v>12</v>
      </c>
      <c r="AK6" s="78">
        <f t="shared" ref="AK6:AK16" si="15">SUM(AD6:AI6)</f>
        <v>72</v>
      </c>
      <c r="AM6" s="77">
        <v>12</v>
      </c>
      <c r="AN6" s="77">
        <v>12</v>
      </c>
      <c r="AO6" s="77">
        <v>12</v>
      </c>
      <c r="AP6" s="77">
        <v>12</v>
      </c>
      <c r="AQ6" s="77">
        <v>12</v>
      </c>
      <c r="AR6" s="77">
        <v>12</v>
      </c>
      <c r="AS6" s="78">
        <f t="shared" ref="AS6:AS16" si="16">IFERROR(AVERAGE(AM6:AR6),0)</f>
        <v>12</v>
      </c>
      <c r="AT6" s="78">
        <f t="shared" ref="AT6:AT16" si="17">SUM(AM6:AR6)</f>
        <v>72</v>
      </c>
      <c r="AV6" s="77">
        <v>12</v>
      </c>
      <c r="AW6" s="77">
        <v>12</v>
      </c>
      <c r="AX6" s="77">
        <v>12</v>
      </c>
      <c r="AY6" s="77">
        <v>12</v>
      </c>
      <c r="AZ6" s="77">
        <v>12</v>
      </c>
      <c r="BA6" s="77">
        <v>12</v>
      </c>
      <c r="BB6" s="78">
        <f t="shared" ref="BB6:BB16" si="18">IFERROR(AVERAGE(AV6:BA6),0)</f>
        <v>12</v>
      </c>
      <c r="BC6" s="78">
        <f t="shared" ref="BC6:BC16" si="19">SUM(AV6:BA6)</f>
        <v>72</v>
      </c>
      <c r="BE6" s="77">
        <v>12</v>
      </c>
      <c r="BF6" s="77">
        <v>12</v>
      </c>
      <c r="BG6" s="77">
        <v>12</v>
      </c>
      <c r="BH6" s="77">
        <v>12</v>
      </c>
      <c r="BI6" s="77">
        <v>12</v>
      </c>
      <c r="BJ6" s="77">
        <v>12</v>
      </c>
      <c r="BK6" s="78">
        <f t="shared" ref="BK6:BK16" si="20">IFERROR(AVERAGE(BE6:BJ6),0)</f>
        <v>12</v>
      </c>
      <c r="BL6" s="78">
        <f t="shared" ref="BL6:BL16" si="21">SUM(BE6:BJ6)</f>
        <v>72</v>
      </c>
      <c r="BN6" s="77">
        <v>12</v>
      </c>
      <c r="BO6" s="77">
        <v>12</v>
      </c>
      <c r="BP6" s="77">
        <v>12</v>
      </c>
      <c r="BQ6" s="77">
        <v>12</v>
      </c>
      <c r="BR6" s="77">
        <v>12</v>
      </c>
      <c r="BS6" s="77">
        <v>12</v>
      </c>
      <c r="BT6" s="78">
        <f t="shared" ref="BT6:BT16" si="22">IFERROR(AVERAGE(BN6:BS6),0)</f>
        <v>12</v>
      </c>
      <c r="BU6" s="78">
        <f t="shared" ref="BU6:BU16" si="23">SUM(BN6:BS6)</f>
        <v>72</v>
      </c>
      <c r="BW6" s="699"/>
    </row>
    <row r="7" spans="1:75" x14ac:dyDescent="0.35">
      <c r="A7" s="32" t="s">
        <v>407</v>
      </c>
      <c r="B7" s="216"/>
      <c r="C7" s="436">
        <f t="shared" ref="C7:H16" si="24">SUM(L7,U7,AD7,AM7,AV7,BE7,BN7,)</f>
        <v>4240021.6153923515</v>
      </c>
      <c r="D7" s="322">
        <f t="shared" si="24"/>
        <v>3927937.2388000009</v>
      </c>
      <c r="E7" s="437">
        <f t="shared" si="24"/>
        <v>3878210.7663572649</v>
      </c>
      <c r="F7" s="437">
        <f t="shared" si="24"/>
        <v>3823585.1340679503</v>
      </c>
      <c r="G7" s="437">
        <f t="shared" si="24"/>
        <v>3793822.7380000013</v>
      </c>
      <c r="H7" s="438">
        <f t="shared" si="24"/>
        <v>3793822.7380000059</v>
      </c>
      <c r="I7" s="10">
        <f t="shared" si="8"/>
        <v>3909566.7051029294</v>
      </c>
      <c r="J7" s="10">
        <f t="shared" si="9"/>
        <v>23457400.230617575</v>
      </c>
      <c r="L7" s="436">
        <v>1668941.4016666701</v>
      </c>
      <c r="M7" s="322">
        <v>1365569.9890000001</v>
      </c>
      <c r="N7" s="437">
        <v>1365569.9890000001</v>
      </c>
      <c r="O7" s="437">
        <v>1365569.9890000033</v>
      </c>
      <c r="P7" s="437">
        <v>1365569.9889999996</v>
      </c>
      <c r="Q7" s="438">
        <v>1365569.9890000038</v>
      </c>
      <c r="R7" s="10">
        <f t="shared" si="10"/>
        <v>1416131.8911111129</v>
      </c>
      <c r="S7" s="10">
        <f t="shared" si="11"/>
        <v>8496791.3466666769</v>
      </c>
      <c r="U7" s="436">
        <v>1269785.2037256798</v>
      </c>
      <c r="V7" s="322">
        <v>1261072.2397999999</v>
      </c>
      <c r="W7" s="437">
        <v>1211345.7673572637</v>
      </c>
      <c r="X7" s="437">
        <v>1156720.1350679458</v>
      </c>
      <c r="Y7" s="437">
        <v>1126957.7390000005</v>
      </c>
      <c r="Z7" s="438">
        <v>1126957.7390000005</v>
      </c>
      <c r="AA7" s="10">
        <f t="shared" si="12"/>
        <v>1192139.8039918148</v>
      </c>
      <c r="AB7" s="10">
        <f t="shared" si="13"/>
        <v>7152838.8239508886</v>
      </c>
      <c r="AD7" s="436">
        <v>528230.22600000061</v>
      </c>
      <c r="AE7" s="322">
        <v>528230.22600000061</v>
      </c>
      <c r="AF7" s="437">
        <v>528230.22600000061</v>
      </c>
      <c r="AG7" s="437">
        <v>528230.22600000061</v>
      </c>
      <c r="AH7" s="437">
        <v>528230.22600000061</v>
      </c>
      <c r="AI7" s="438">
        <v>528230.22600000061</v>
      </c>
      <c r="AJ7" s="10">
        <f t="shared" si="14"/>
        <v>528230.22600000061</v>
      </c>
      <c r="AK7" s="10">
        <f t="shared" si="15"/>
        <v>3169381.3560000039</v>
      </c>
      <c r="AM7" s="436">
        <v>489984.56200000027</v>
      </c>
      <c r="AN7" s="322">
        <v>489984.56200000015</v>
      </c>
      <c r="AO7" s="437">
        <v>489984.56200000015</v>
      </c>
      <c r="AP7" s="437">
        <v>489984.56200000015</v>
      </c>
      <c r="AQ7" s="437">
        <v>489984.56200000015</v>
      </c>
      <c r="AR7" s="438">
        <v>489984.56200000015</v>
      </c>
      <c r="AS7" s="10">
        <f t="shared" si="16"/>
        <v>489984.56200000021</v>
      </c>
      <c r="AT7" s="10">
        <f t="shared" si="17"/>
        <v>2939907.3720000014</v>
      </c>
      <c r="AV7" s="508">
        <v>283080.22200000053</v>
      </c>
      <c r="AW7" s="509">
        <v>283080.22200000053</v>
      </c>
      <c r="AX7" s="510">
        <v>283080.22200000053</v>
      </c>
      <c r="AY7" s="510">
        <v>283080.22200000053</v>
      </c>
      <c r="AZ7" s="510">
        <v>283080.22200000053</v>
      </c>
      <c r="BA7" s="511">
        <v>283080.22200000053</v>
      </c>
      <c r="BB7" s="10">
        <f t="shared" si="18"/>
        <v>283080.22200000053</v>
      </c>
      <c r="BC7" s="10">
        <f t="shared" si="19"/>
        <v>1698481.3320000032</v>
      </c>
      <c r="BE7" s="512">
        <v>0</v>
      </c>
      <c r="BF7" s="513">
        <v>0</v>
      </c>
      <c r="BG7" s="514">
        <v>0</v>
      </c>
      <c r="BH7" s="514">
        <v>0</v>
      </c>
      <c r="BI7" s="514">
        <v>0</v>
      </c>
      <c r="BJ7" s="515">
        <v>0</v>
      </c>
      <c r="BK7" s="10">
        <f t="shared" si="20"/>
        <v>0</v>
      </c>
      <c r="BL7" s="10">
        <f t="shared" si="21"/>
        <v>0</v>
      </c>
      <c r="BN7" s="508">
        <v>0</v>
      </c>
      <c r="BO7" s="509">
        <v>0</v>
      </c>
      <c r="BP7" s="510">
        <v>0</v>
      </c>
      <c r="BQ7" s="510">
        <v>0</v>
      </c>
      <c r="BR7" s="510">
        <v>0</v>
      </c>
      <c r="BS7" s="511">
        <v>0</v>
      </c>
      <c r="BT7" s="10">
        <f t="shared" si="22"/>
        <v>0</v>
      </c>
      <c r="BU7" s="10">
        <f t="shared" si="23"/>
        <v>0</v>
      </c>
      <c r="BW7" s="186"/>
    </row>
    <row r="8" spans="1:75" x14ac:dyDescent="0.35">
      <c r="A8" s="25" t="s">
        <v>382</v>
      </c>
      <c r="B8" s="76"/>
      <c r="C8" s="315">
        <f>SUM(L8,U8,AD8,AM8,AV8,BE8,BN8,)</f>
        <v>87.140102802105972</v>
      </c>
      <c r="D8" s="316">
        <f t="shared" si="24"/>
        <v>78.555403348554037</v>
      </c>
      <c r="E8" s="374">
        <f t="shared" si="24"/>
        <v>76.221156773211575</v>
      </c>
      <c r="F8" s="374">
        <f t="shared" si="24"/>
        <v>75.555403348554037</v>
      </c>
      <c r="G8" s="374">
        <f t="shared" si="24"/>
        <v>75.555403348554023</v>
      </c>
      <c r="H8" s="375">
        <f t="shared" si="24"/>
        <v>75.555403348554037</v>
      </c>
      <c r="I8" s="14">
        <f t="shared" si="8"/>
        <v>78.097145494922273</v>
      </c>
      <c r="J8" s="14">
        <f t="shared" si="9"/>
        <v>468.58287296953364</v>
      </c>
      <c r="L8" s="315">
        <v>33.000000000000043</v>
      </c>
      <c r="M8" s="316">
        <v>25</v>
      </c>
      <c r="N8" s="374">
        <v>25</v>
      </c>
      <c r="O8" s="374">
        <v>25</v>
      </c>
      <c r="P8" s="374">
        <v>24.999999999999986</v>
      </c>
      <c r="Q8" s="375">
        <v>25</v>
      </c>
      <c r="R8" s="14">
        <f t="shared" si="10"/>
        <v>26.333333333333339</v>
      </c>
      <c r="S8" s="14">
        <f t="shared" si="11"/>
        <v>158.00000000000003</v>
      </c>
      <c r="U8" s="315">
        <v>28.584699453551906</v>
      </c>
      <c r="V8" s="316">
        <v>28</v>
      </c>
      <c r="W8" s="374">
        <v>25.665753424657538</v>
      </c>
      <c r="X8" s="374">
        <v>25</v>
      </c>
      <c r="Y8" s="374">
        <v>25</v>
      </c>
      <c r="Z8" s="375">
        <v>25</v>
      </c>
      <c r="AA8" s="14">
        <f t="shared" si="12"/>
        <v>26.208408813034907</v>
      </c>
      <c r="AB8" s="14">
        <f t="shared" si="13"/>
        <v>157.25045287820944</v>
      </c>
      <c r="AD8" s="315">
        <v>10</v>
      </c>
      <c r="AE8" s="316">
        <v>10</v>
      </c>
      <c r="AF8" s="374">
        <v>10</v>
      </c>
      <c r="AG8" s="374">
        <v>10</v>
      </c>
      <c r="AH8" s="374">
        <v>10</v>
      </c>
      <c r="AI8" s="375">
        <v>10</v>
      </c>
      <c r="AJ8" s="14">
        <f t="shared" si="14"/>
        <v>10</v>
      </c>
      <c r="AK8" s="14">
        <f t="shared" si="15"/>
        <v>60</v>
      </c>
      <c r="AM8" s="315">
        <v>10.555403348554027</v>
      </c>
      <c r="AN8" s="316">
        <v>10.555403348554034</v>
      </c>
      <c r="AO8" s="374">
        <v>10.555403348554034</v>
      </c>
      <c r="AP8" s="374">
        <v>10.555403348554034</v>
      </c>
      <c r="AQ8" s="374">
        <v>10.555403348554034</v>
      </c>
      <c r="AR8" s="375">
        <v>10.555403348554034</v>
      </c>
      <c r="AS8" s="14">
        <f t="shared" si="16"/>
        <v>10.555403348554032</v>
      </c>
      <c r="AT8" s="14">
        <f t="shared" si="17"/>
        <v>63.332420091324195</v>
      </c>
      <c r="AV8" s="512">
        <v>4.9999999999999982</v>
      </c>
      <c r="AW8" s="513">
        <v>4.9999999999999982</v>
      </c>
      <c r="AX8" s="514">
        <v>4.9999999999999982</v>
      </c>
      <c r="AY8" s="514">
        <v>4.9999999999999982</v>
      </c>
      <c r="AZ8" s="514">
        <v>4.9999999999999982</v>
      </c>
      <c r="BA8" s="515">
        <v>4.9999999999999982</v>
      </c>
      <c r="BB8" s="14">
        <f t="shared" si="18"/>
        <v>4.9999999999999991</v>
      </c>
      <c r="BC8" s="14">
        <f t="shared" si="19"/>
        <v>29.999999999999993</v>
      </c>
      <c r="BE8" s="512">
        <v>0</v>
      </c>
      <c r="BF8" s="513">
        <v>0</v>
      </c>
      <c r="BG8" s="514">
        <v>0</v>
      </c>
      <c r="BH8" s="514">
        <v>0</v>
      </c>
      <c r="BI8" s="514">
        <v>0</v>
      </c>
      <c r="BJ8" s="515">
        <v>0</v>
      </c>
      <c r="BK8" s="14">
        <f t="shared" si="20"/>
        <v>0</v>
      </c>
      <c r="BL8" s="14">
        <f t="shared" si="21"/>
        <v>0</v>
      </c>
      <c r="BN8" s="512">
        <v>0</v>
      </c>
      <c r="BO8" s="513">
        <v>0</v>
      </c>
      <c r="BP8" s="514">
        <v>0</v>
      </c>
      <c r="BQ8" s="514">
        <v>0</v>
      </c>
      <c r="BR8" s="514">
        <v>0</v>
      </c>
      <c r="BS8" s="515">
        <v>0</v>
      </c>
      <c r="BT8" s="14">
        <f t="shared" si="22"/>
        <v>0</v>
      </c>
      <c r="BU8" s="14">
        <f t="shared" si="23"/>
        <v>0</v>
      </c>
      <c r="BW8" s="187"/>
    </row>
    <row r="9" spans="1:75" x14ac:dyDescent="0.35">
      <c r="A9" s="25" t="s">
        <v>386</v>
      </c>
      <c r="B9" s="76"/>
      <c r="C9" s="315">
        <f t="shared" si="24"/>
        <v>1885007.8855153422</v>
      </c>
      <c r="D9" s="316">
        <f t="shared" si="24"/>
        <v>2197092.2621076922</v>
      </c>
      <c r="E9" s="374">
        <f t="shared" si="24"/>
        <v>2246818.7345504314</v>
      </c>
      <c r="F9" s="374">
        <f t="shared" si="24"/>
        <v>2301444.3668397465</v>
      </c>
      <c r="G9" s="374">
        <f t="shared" si="24"/>
        <v>2331206.7629076918</v>
      </c>
      <c r="H9" s="375">
        <f t="shared" si="24"/>
        <v>2331206.7629076918</v>
      </c>
      <c r="I9" s="14">
        <f t="shared" si="8"/>
        <v>2215462.7958047655</v>
      </c>
      <c r="J9" s="14">
        <f t="shared" si="9"/>
        <v>13292776.774828594</v>
      </c>
      <c r="L9" s="315">
        <v>815511.35933333228</v>
      </c>
      <c r="M9" s="316">
        <v>1118882.7719999989</v>
      </c>
      <c r="N9" s="374">
        <v>1118882.7719999989</v>
      </c>
      <c r="O9" s="374">
        <v>1118882.7719999989</v>
      </c>
      <c r="P9" s="374">
        <v>1118882.7719999989</v>
      </c>
      <c r="Q9" s="375">
        <v>1118882.7719999989</v>
      </c>
      <c r="R9" s="14">
        <f t="shared" si="10"/>
        <v>1068320.869888888</v>
      </c>
      <c r="S9" s="14">
        <f t="shared" si="11"/>
        <v>6409925.2193333274</v>
      </c>
      <c r="U9" s="315">
        <v>452528.36127431726</v>
      </c>
      <c r="V9" s="316">
        <v>461241.32520000031</v>
      </c>
      <c r="W9" s="374">
        <v>510967.79764274007</v>
      </c>
      <c r="X9" s="374">
        <v>565593.42993205518</v>
      </c>
      <c r="Y9" s="374">
        <v>595355.82600000047</v>
      </c>
      <c r="Z9" s="375">
        <v>595355.82600000047</v>
      </c>
      <c r="AA9" s="14">
        <f t="shared" si="12"/>
        <v>530173.76100818557</v>
      </c>
      <c r="AB9" s="14">
        <f t="shared" si="13"/>
        <v>3181042.5660491134</v>
      </c>
      <c r="AD9" s="315">
        <v>35238.769</v>
      </c>
      <c r="AE9" s="316">
        <v>35238.769</v>
      </c>
      <c r="AF9" s="374">
        <v>35238.769</v>
      </c>
      <c r="AG9" s="374">
        <v>35238.769</v>
      </c>
      <c r="AH9" s="374">
        <v>35238.769</v>
      </c>
      <c r="AI9" s="375">
        <v>35238.769</v>
      </c>
      <c r="AJ9" s="14">
        <f t="shared" si="14"/>
        <v>35238.769</v>
      </c>
      <c r="AK9" s="14">
        <f t="shared" si="15"/>
        <v>211432.614</v>
      </c>
      <c r="AM9" s="315">
        <v>149053.92900000012</v>
      </c>
      <c r="AN9" s="316">
        <v>149053.92900000012</v>
      </c>
      <c r="AO9" s="374">
        <v>149053.92900000012</v>
      </c>
      <c r="AP9" s="374">
        <v>149053.92900000012</v>
      </c>
      <c r="AQ9" s="374">
        <v>149053.92900000012</v>
      </c>
      <c r="AR9" s="375">
        <v>149053.92900000012</v>
      </c>
      <c r="AS9" s="14">
        <f t="shared" si="16"/>
        <v>149053.92900000012</v>
      </c>
      <c r="AT9" s="14">
        <f t="shared" si="17"/>
        <v>894323.57400000072</v>
      </c>
      <c r="AV9" s="512">
        <v>68765.054000000004</v>
      </c>
      <c r="AW9" s="513">
        <v>68765.054000000004</v>
      </c>
      <c r="AX9" s="514">
        <v>68765.054000000004</v>
      </c>
      <c r="AY9" s="514">
        <v>68765.054000000004</v>
      </c>
      <c r="AZ9" s="514">
        <v>68765.054000000004</v>
      </c>
      <c r="BA9" s="515">
        <v>68765.054000000004</v>
      </c>
      <c r="BB9" s="14">
        <f t="shared" si="18"/>
        <v>68765.054000000004</v>
      </c>
      <c r="BC9" s="14">
        <f t="shared" si="19"/>
        <v>412590.32400000002</v>
      </c>
      <c r="BE9" s="512">
        <v>256103.45590769238</v>
      </c>
      <c r="BF9" s="513">
        <v>256103.45590769238</v>
      </c>
      <c r="BG9" s="514">
        <v>256103.45590769238</v>
      </c>
      <c r="BH9" s="514">
        <v>256103.45590769238</v>
      </c>
      <c r="BI9" s="514">
        <v>256103.45590769238</v>
      </c>
      <c r="BJ9" s="515">
        <v>256103.45590769238</v>
      </c>
      <c r="BK9" s="14">
        <f t="shared" si="20"/>
        <v>256103.45590769241</v>
      </c>
      <c r="BL9" s="14">
        <f t="shared" si="21"/>
        <v>1536620.7354461544</v>
      </c>
      <c r="BN9" s="512">
        <v>107806.95700000002</v>
      </c>
      <c r="BO9" s="513">
        <v>107806.95700000002</v>
      </c>
      <c r="BP9" s="514">
        <v>107806.95700000002</v>
      </c>
      <c r="BQ9" s="514">
        <v>107806.95700000002</v>
      </c>
      <c r="BR9" s="514">
        <v>107806.95700000002</v>
      </c>
      <c r="BS9" s="515">
        <v>107806.95700000002</v>
      </c>
      <c r="BT9" s="14">
        <f t="shared" si="22"/>
        <v>107806.95700000004</v>
      </c>
      <c r="BU9" s="14">
        <f t="shared" si="23"/>
        <v>646841.7420000002</v>
      </c>
      <c r="BW9" s="187"/>
    </row>
    <row r="10" spans="1:75" x14ac:dyDescent="0.35">
      <c r="A10" s="25" t="s">
        <v>383</v>
      </c>
      <c r="B10" s="76"/>
      <c r="C10" s="315">
        <f t="shared" si="24"/>
        <v>254.85989719789399</v>
      </c>
      <c r="D10" s="316">
        <f t="shared" si="24"/>
        <v>263.44459665144598</v>
      </c>
      <c r="E10" s="374">
        <f t="shared" si="24"/>
        <v>265.77884322678835</v>
      </c>
      <c r="F10" s="374">
        <f t="shared" si="24"/>
        <v>266.44459665144586</v>
      </c>
      <c r="G10" s="374">
        <f t="shared" si="24"/>
        <v>266.44459665144592</v>
      </c>
      <c r="H10" s="375">
        <f t="shared" si="24"/>
        <v>266.44459665144592</v>
      </c>
      <c r="I10" s="14">
        <f t="shared" si="8"/>
        <v>263.90285450507764</v>
      </c>
      <c r="J10" s="14">
        <f t="shared" si="9"/>
        <v>1583.417127030466</v>
      </c>
      <c r="L10" s="315">
        <v>89.999999999999901</v>
      </c>
      <c r="M10" s="316">
        <v>97.999999999999972</v>
      </c>
      <c r="N10" s="374">
        <v>98</v>
      </c>
      <c r="O10" s="374">
        <v>97.999999999999943</v>
      </c>
      <c r="P10" s="374">
        <v>97.999999999999957</v>
      </c>
      <c r="Q10" s="375">
        <v>97.999999999999972</v>
      </c>
      <c r="R10" s="14">
        <f t="shared" si="10"/>
        <v>96.666666666666629</v>
      </c>
      <c r="S10" s="14">
        <f t="shared" si="11"/>
        <v>579.99999999999977</v>
      </c>
      <c r="U10" s="315">
        <v>80.415300546448123</v>
      </c>
      <c r="V10" s="316">
        <v>81</v>
      </c>
      <c r="W10" s="374">
        <v>83.334246575342377</v>
      </c>
      <c r="X10" s="374">
        <v>83.999999999999972</v>
      </c>
      <c r="Y10" s="374">
        <v>83.999999999999986</v>
      </c>
      <c r="Z10" s="375">
        <v>83.999999999999986</v>
      </c>
      <c r="AA10" s="14">
        <f t="shared" si="12"/>
        <v>82.791591186965078</v>
      </c>
      <c r="AB10" s="14">
        <f t="shared" si="13"/>
        <v>496.74954712179044</v>
      </c>
      <c r="AD10" s="315">
        <v>5</v>
      </c>
      <c r="AE10" s="316">
        <v>5</v>
      </c>
      <c r="AF10" s="374">
        <v>5</v>
      </c>
      <c r="AG10" s="374">
        <v>5</v>
      </c>
      <c r="AH10" s="374">
        <v>5</v>
      </c>
      <c r="AI10" s="375">
        <v>5</v>
      </c>
      <c r="AJ10" s="14">
        <f t="shared" si="14"/>
        <v>5</v>
      </c>
      <c r="AK10" s="14">
        <f t="shared" si="15"/>
        <v>30</v>
      </c>
      <c r="AM10" s="315">
        <v>24.444596651445966</v>
      </c>
      <c r="AN10" s="316">
        <v>24.444596651445966</v>
      </c>
      <c r="AO10" s="374">
        <v>24.444596651445966</v>
      </c>
      <c r="AP10" s="374">
        <v>24.444596651445966</v>
      </c>
      <c r="AQ10" s="374">
        <v>24.444596651445966</v>
      </c>
      <c r="AR10" s="375">
        <v>24.444596651445966</v>
      </c>
      <c r="AS10" s="14">
        <f t="shared" si="16"/>
        <v>24.444596651445966</v>
      </c>
      <c r="AT10" s="14">
        <f t="shared" si="17"/>
        <v>146.6675799086758</v>
      </c>
      <c r="AV10" s="512">
        <v>13.000000000000002</v>
      </c>
      <c r="AW10" s="513">
        <v>13.000000000000002</v>
      </c>
      <c r="AX10" s="514">
        <v>13.000000000000002</v>
      </c>
      <c r="AY10" s="514">
        <v>13.000000000000002</v>
      </c>
      <c r="AZ10" s="514">
        <v>13.000000000000002</v>
      </c>
      <c r="BA10" s="515">
        <v>13.000000000000002</v>
      </c>
      <c r="BB10" s="14">
        <f t="shared" si="18"/>
        <v>13.000000000000002</v>
      </c>
      <c r="BC10" s="14">
        <f t="shared" si="19"/>
        <v>78.000000000000014</v>
      </c>
      <c r="BE10" s="512">
        <v>31</v>
      </c>
      <c r="BF10" s="513">
        <v>31</v>
      </c>
      <c r="BG10" s="514">
        <v>31</v>
      </c>
      <c r="BH10" s="514">
        <v>31</v>
      </c>
      <c r="BI10" s="514">
        <v>31</v>
      </c>
      <c r="BJ10" s="515">
        <v>31</v>
      </c>
      <c r="BK10" s="14">
        <f t="shared" si="20"/>
        <v>31</v>
      </c>
      <c r="BL10" s="14">
        <f t="shared" si="21"/>
        <v>186</v>
      </c>
      <c r="BN10" s="512">
        <v>11</v>
      </c>
      <c r="BO10" s="513">
        <v>11</v>
      </c>
      <c r="BP10" s="514">
        <v>11</v>
      </c>
      <c r="BQ10" s="514">
        <v>11</v>
      </c>
      <c r="BR10" s="514">
        <v>11</v>
      </c>
      <c r="BS10" s="515">
        <v>11</v>
      </c>
      <c r="BT10" s="14">
        <f t="shared" si="22"/>
        <v>11</v>
      </c>
      <c r="BU10" s="14">
        <f t="shared" si="23"/>
        <v>66</v>
      </c>
      <c r="BW10" s="187"/>
    </row>
    <row r="11" spans="1:75" x14ac:dyDescent="0.35">
      <c r="A11" s="36" t="s">
        <v>385</v>
      </c>
      <c r="B11" s="76"/>
      <c r="C11" s="315">
        <f t="shared" si="24"/>
        <v>488594.54409230762</v>
      </c>
      <c r="D11" s="316">
        <f t="shared" si="24"/>
        <v>488594.54409230762</v>
      </c>
      <c r="E11" s="374">
        <f>SUM(N11,W11,AF11,AO11,AX11,BG11,BP11,)</f>
        <v>488594.54409230762</v>
      </c>
      <c r="F11" s="374">
        <f t="shared" si="24"/>
        <v>488594.54409230762</v>
      </c>
      <c r="G11" s="374">
        <f t="shared" si="24"/>
        <v>488594.54409230762</v>
      </c>
      <c r="H11" s="375">
        <f t="shared" si="24"/>
        <v>488594.54409230762</v>
      </c>
      <c r="I11" s="14">
        <f t="shared" si="8"/>
        <v>488594.54409230762</v>
      </c>
      <c r="J11" s="14">
        <f t="shared" si="9"/>
        <v>2931567.2645538459</v>
      </c>
      <c r="K11" s="278"/>
      <c r="L11" s="315">
        <v>204443</v>
      </c>
      <c r="M11" s="316">
        <v>204443</v>
      </c>
      <c r="N11" s="374">
        <v>204443</v>
      </c>
      <c r="O11" s="374">
        <v>204443</v>
      </c>
      <c r="P11" s="374">
        <v>204443</v>
      </c>
      <c r="Q11" s="375">
        <v>204443</v>
      </c>
      <c r="R11" s="14">
        <f t="shared" si="10"/>
        <v>204443</v>
      </c>
      <c r="S11" s="14">
        <f t="shared" si="11"/>
        <v>1226658</v>
      </c>
      <c r="T11" s="278"/>
      <c r="U11" s="315">
        <v>0</v>
      </c>
      <c r="V11" s="316">
        <v>0</v>
      </c>
      <c r="W11" s="374">
        <v>0</v>
      </c>
      <c r="X11" s="374">
        <v>0</v>
      </c>
      <c r="Y11" s="374">
        <v>0</v>
      </c>
      <c r="Z11" s="375">
        <v>0</v>
      </c>
      <c r="AA11" s="14">
        <f t="shared" si="12"/>
        <v>0</v>
      </c>
      <c r="AB11" s="14">
        <f t="shared" si="13"/>
        <v>0</v>
      </c>
      <c r="AC11" s="278"/>
      <c r="AD11" s="315">
        <v>0</v>
      </c>
      <c r="AE11" s="316">
        <v>0</v>
      </c>
      <c r="AF11" s="374">
        <v>0</v>
      </c>
      <c r="AG11" s="374">
        <v>0</v>
      </c>
      <c r="AH11" s="374">
        <v>0</v>
      </c>
      <c r="AI11" s="375">
        <v>0</v>
      </c>
      <c r="AJ11" s="14">
        <f t="shared" si="14"/>
        <v>0</v>
      </c>
      <c r="AK11" s="14">
        <f t="shared" si="15"/>
        <v>0</v>
      </c>
      <c r="AL11" s="278"/>
      <c r="AM11" s="315">
        <v>0</v>
      </c>
      <c r="AN11" s="316">
        <v>0</v>
      </c>
      <c r="AO11" s="374">
        <v>0</v>
      </c>
      <c r="AP11" s="374">
        <v>0</v>
      </c>
      <c r="AQ11" s="374">
        <v>0</v>
      </c>
      <c r="AR11" s="375">
        <v>0</v>
      </c>
      <c r="AS11" s="14">
        <f t="shared" si="16"/>
        <v>0</v>
      </c>
      <c r="AT11" s="14">
        <f t="shared" si="17"/>
        <v>0</v>
      </c>
      <c r="AU11" s="278"/>
      <c r="AV11" s="512">
        <v>0</v>
      </c>
      <c r="AW11" s="513">
        <v>0</v>
      </c>
      <c r="AX11" s="514">
        <v>0</v>
      </c>
      <c r="AY11" s="514">
        <v>0</v>
      </c>
      <c r="AZ11" s="514">
        <v>0</v>
      </c>
      <c r="BA11" s="515">
        <v>0</v>
      </c>
      <c r="BB11" s="14">
        <f t="shared" si="18"/>
        <v>0</v>
      </c>
      <c r="BC11" s="14">
        <f t="shared" si="19"/>
        <v>0</v>
      </c>
      <c r="BD11" s="278"/>
      <c r="BE11" s="512">
        <v>284151.54409230762</v>
      </c>
      <c r="BF11" s="513">
        <v>284151.54409230762</v>
      </c>
      <c r="BG11" s="514">
        <v>284151.54409230762</v>
      </c>
      <c r="BH11" s="514">
        <v>284151.54409230762</v>
      </c>
      <c r="BI11" s="514">
        <v>284151.54409230762</v>
      </c>
      <c r="BJ11" s="515">
        <v>284151.54409230762</v>
      </c>
      <c r="BK11" s="14">
        <f t="shared" si="20"/>
        <v>284151.54409230762</v>
      </c>
      <c r="BL11" s="14">
        <f t="shared" si="21"/>
        <v>1704909.2645538456</v>
      </c>
      <c r="BM11" s="278"/>
      <c r="BN11" s="512">
        <v>0</v>
      </c>
      <c r="BO11" s="513">
        <v>0</v>
      </c>
      <c r="BP11" s="514">
        <v>0</v>
      </c>
      <c r="BQ11" s="514">
        <v>0</v>
      </c>
      <c r="BR11" s="514">
        <v>0</v>
      </c>
      <c r="BS11" s="515">
        <v>0</v>
      </c>
      <c r="BT11" s="14">
        <f t="shared" si="22"/>
        <v>0</v>
      </c>
      <c r="BU11" s="14">
        <f t="shared" si="23"/>
        <v>0</v>
      </c>
      <c r="BV11" s="278"/>
      <c r="BW11" s="187"/>
    </row>
    <row r="12" spans="1:75" x14ac:dyDescent="0.35">
      <c r="A12" s="36" t="s">
        <v>384</v>
      </c>
      <c r="B12" s="76"/>
      <c r="C12" s="315">
        <f t="shared" si="24"/>
        <v>30</v>
      </c>
      <c r="D12" s="316">
        <f t="shared" si="24"/>
        <v>30</v>
      </c>
      <c r="E12" s="374">
        <f t="shared" si="24"/>
        <v>30</v>
      </c>
      <c r="F12" s="374">
        <f t="shared" si="24"/>
        <v>30</v>
      </c>
      <c r="G12" s="374">
        <f t="shared" si="24"/>
        <v>30</v>
      </c>
      <c r="H12" s="375">
        <f t="shared" si="24"/>
        <v>30</v>
      </c>
      <c r="I12" s="14">
        <f t="shared" si="8"/>
        <v>30</v>
      </c>
      <c r="J12" s="14">
        <f t="shared" si="9"/>
        <v>180</v>
      </c>
      <c r="K12" s="278"/>
      <c r="L12" s="315">
        <v>12</v>
      </c>
      <c r="M12" s="316">
        <v>12</v>
      </c>
      <c r="N12" s="374">
        <v>12</v>
      </c>
      <c r="O12" s="374">
        <v>12</v>
      </c>
      <c r="P12" s="374">
        <v>12</v>
      </c>
      <c r="Q12" s="375">
        <v>12</v>
      </c>
      <c r="R12" s="14">
        <f t="shared" si="10"/>
        <v>12</v>
      </c>
      <c r="S12" s="14">
        <f t="shared" si="11"/>
        <v>72</v>
      </c>
      <c r="T12" s="278"/>
      <c r="U12" s="315">
        <v>0</v>
      </c>
      <c r="V12" s="316">
        <v>0</v>
      </c>
      <c r="W12" s="374">
        <v>0</v>
      </c>
      <c r="X12" s="374">
        <v>0</v>
      </c>
      <c r="Y12" s="374">
        <v>0</v>
      </c>
      <c r="Z12" s="375">
        <v>0</v>
      </c>
      <c r="AA12" s="14">
        <f t="shared" si="12"/>
        <v>0</v>
      </c>
      <c r="AB12" s="14">
        <f t="shared" si="13"/>
        <v>0</v>
      </c>
      <c r="AC12" s="278"/>
      <c r="AD12" s="315">
        <v>0</v>
      </c>
      <c r="AE12" s="316">
        <v>0</v>
      </c>
      <c r="AF12" s="374">
        <v>0</v>
      </c>
      <c r="AG12" s="374">
        <v>0</v>
      </c>
      <c r="AH12" s="374">
        <v>0</v>
      </c>
      <c r="AI12" s="375">
        <v>0</v>
      </c>
      <c r="AJ12" s="14">
        <f t="shared" si="14"/>
        <v>0</v>
      </c>
      <c r="AK12" s="14">
        <f t="shared" si="15"/>
        <v>0</v>
      </c>
      <c r="AL12" s="278"/>
      <c r="AM12" s="315">
        <v>0</v>
      </c>
      <c r="AN12" s="316">
        <v>0</v>
      </c>
      <c r="AO12" s="374">
        <v>0</v>
      </c>
      <c r="AP12" s="374">
        <v>0</v>
      </c>
      <c r="AQ12" s="374">
        <v>0</v>
      </c>
      <c r="AR12" s="375">
        <v>0</v>
      </c>
      <c r="AS12" s="14">
        <f t="shared" si="16"/>
        <v>0</v>
      </c>
      <c r="AT12" s="14">
        <f t="shared" si="17"/>
        <v>0</v>
      </c>
      <c r="AU12" s="278"/>
      <c r="AV12" s="512">
        <v>0</v>
      </c>
      <c r="AW12" s="513">
        <v>0</v>
      </c>
      <c r="AX12" s="514">
        <v>0</v>
      </c>
      <c r="AY12" s="514">
        <v>0</v>
      </c>
      <c r="AZ12" s="514">
        <v>0</v>
      </c>
      <c r="BA12" s="515">
        <v>0</v>
      </c>
      <c r="BB12" s="14">
        <f t="shared" si="18"/>
        <v>0</v>
      </c>
      <c r="BC12" s="14">
        <f t="shared" si="19"/>
        <v>0</v>
      </c>
      <c r="BD12" s="278"/>
      <c r="BE12" s="512">
        <v>18</v>
      </c>
      <c r="BF12" s="513">
        <v>18</v>
      </c>
      <c r="BG12" s="514">
        <v>18</v>
      </c>
      <c r="BH12" s="514">
        <v>18</v>
      </c>
      <c r="BI12" s="514">
        <v>18</v>
      </c>
      <c r="BJ12" s="515">
        <v>18</v>
      </c>
      <c r="BK12" s="14">
        <f t="shared" si="20"/>
        <v>18</v>
      </c>
      <c r="BL12" s="14">
        <f t="shared" si="21"/>
        <v>108</v>
      </c>
      <c r="BM12" s="278"/>
      <c r="BN12" s="512">
        <v>0</v>
      </c>
      <c r="BO12" s="513">
        <v>0</v>
      </c>
      <c r="BP12" s="514">
        <v>0</v>
      </c>
      <c r="BQ12" s="514">
        <v>0</v>
      </c>
      <c r="BR12" s="514">
        <v>0</v>
      </c>
      <c r="BS12" s="515">
        <v>0</v>
      </c>
      <c r="BT12" s="14">
        <f t="shared" si="22"/>
        <v>0</v>
      </c>
      <c r="BU12" s="14">
        <f t="shared" si="23"/>
        <v>0</v>
      </c>
      <c r="BV12" s="278"/>
      <c r="BW12" s="187"/>
    </row>
    <row r="13" spans="1:75" x14ac:dyDescent="0.35">
      <c r="A13" s="36" t="s">
        <v>468</v>
      </c>
      <c r="B13" s="76"/>
      <c r="C13" s="315">
        <f t="shared" si="24"/>
        <v>0</v>
      </c>
      <c r="D13" s="316">
        <f t="shared" si="24"/>
        <v>0</v>
      </c>
      <c r="E13" s="374">
        <f t="shared" si="24"/>
        <v>0</v>
      </c>
      <c r="F13" s="374">
        <f t="shared" si="24"/>
        <v>0</v>
      </c>
      <c r="G13" s="374">
        <f t="shared" si="24"/>
        <v>0</v>
      </c>
      <c r="H13" s="375">
        <f t="shared" si="24"/>
        <v>0</v>
      </c>
      <c r="I13" s="14">
        <f t="shared" si="8"/>
        <v>0</v>
      </c>
      <c r="J13" s="14">
        <f t="shared" si="9"/>
        <v>0</v>
      </c>
      <c r="K13" s="278"/>
      <c r="L13" s="315">
        <v>0</v>
      </c>
      <c r="M13" s="316">
        <v>0</v>
      </c>
      <c r="N13" s="374">
        <v>0</v>
      </c>
      <c r="O13" s="374">
        <v>0</v>
      </c>
      <c r="P13" s="374">
        <v>0</v>
      </c>
      <c r="Q13" s="375">
        <v>0</v>
      </c>
      <c r="R13" s="14">
        <f t="shared" si="10"/>
        <v>0</v>
      </c>
      <c r="S13" s="14">
        <f t="shared" si="11"/>
        <v>0</v>
      </c>
      <c r="T13" s="278"/>
      <c r="U13" s="315">
        <v>0</v>
      </c>
      <c r="V13" s="316">
        <v>0</v>
      </c>
      <c r="W13" s="374">
        <v>0</v>
      </c>
      <c r="X13" s="374">
        <v>0</v>
      </c>
      <c r="Y13" s="374">
        <v>0</v>
      </c>
      <c r="Z13" s="375">
        <v>0</v>
      </c>
      <c r="AA13" s="14">
        <f t="shared" si="12"/>
        <v>0</v>
      </c>
      <c r="AB13" s="14">
        <f t="shared" si="13"/>
        <v>0</v>
      </c>
      <c r="AC13" s="278"/>
      <c r="AD13" s="315">
        <v>0</v>
      </c>
      <c r="AE13" s="316">
        <v>0</v>
      </c>
      <c r="AF13" s="374">
        <v>0</v>
      </c>
      <c r="AG13" s="374">
        <v>0</v>
      </c>
      <c r="AH13" s="374">
        <v>0</v>
      </c>
      <c r="AI13" s="375">
        <v>0</v>
      </c>
      <c r="AJ13" s="14">
        <f t="shared" si="14"/>
        <v>0</v>
      </c>
      <c r="AK13" s="14">
        <f t="shared" si="15"/>
        <v>0</v>
      </c>
      <c r="AL13" s="278"/>
      <c r="AM13" s="315">
        <v>0</v>
      </c>
      <c r="AN13" s="316">
        <v>0</v>
      </c>
      <c r="AO13" s="374">
        <v>0</v>
      </c>
      <c r="AP13" s="374">
        <v>0</v>
      </c>
      <c r="AQ13" s="374">
        <v>0</v>
      </c>
      <c r="AR13" s="375">
        <v>0</v>
      </c>
      <c r="AS13" s="14">
        <f t="shared" si="16"/>
        <v>0</v>
      </c>
      <c r="AT13" s="14">
        <f t="shared" si="17"/>
        <v>0</v>
      </c>
      <c r="AU13" s="278"/>
      <c r="AV13" s="512">
        <v>0</v>
      </c>
      <c r="AW13" s="513">
        <v>0</v>
      </c>
      <c r="AX13" s="514">
        <v>0</v>
      </c>
      <c r="AY13" s="514">
        <v>0</v>
      </c>
      <c r="AZ13" s="514">
        <v>0</v>
      </c>
      <c r="BA13" s="515">
        <v>0</v>
      </c>
      <c r="BB13" s="14">
        <f t="shared" si="18"/>
        <v>0</v>
      </c>
      <c r="BC13" s="14">
        <f t="shared" si="19"/>
        <v>0</v>
      </c>
      <c r="BD13" s="278"/>
      <c r="BE13" s="512">
        <v>0</v>
      </c>
      <c r="BF13" s="513">
        <v>0</v>
      </c>
      <c r="BG13" s="514">
        <v>0</v>
      </c>
      <c r="BH13" s="514">
        <v>0</v>
      </c>
      <c r="BI13" s="514">
        <v>0</v>
      </c>
      <c r="BJ13" s="515">
        <v>0</v>
      </c>
      <c r="BK13" s="14">
        <f t="shared" si="20"/>
        <v>0</v>
      </c>
      <c r="BL13" s="14">
        <f t="shared" si="21"/>
        <v>0</v>
      </c>
      <c r="BM13" s="278"/>
      <c r="BN13" s="512">
        <v>0</v>
      </c>
      <c r="BO13" s="513">
        <v>0</v>
      </c>
      <c r="BP13" s="514">
        <v>0</v>
      </c>
      <c r="BQ13" s="514">
        <v>0</v>
      </c>
      <c r="BR13" s="514">
        <v>0</v>
      </c>
      <c r="BS13" s="515">
        <v>0</v>
      </c>
      <c r="BT13" s="14">
        <f t="shared" si="22"/>
        <v>0</v>
      </c>
      <c r="BU13" s="14">
        <f t="shared" si="23"/>
        <v>0</v>
      </c>
      <c r="BV13" s="278"/>
      <c r="BW13" s="187"/>
    </row>
    <row r="14" spans="1:75" x14ac:dyDescent="0.35">
      <c r="A14" s="36" t="s">
        <v>469</v>
      </c>
      <c r="B14" s="76"/>
      <c r="C14" s="315">
        <f t="shared" si="24"/>
        <v>0</v>
      </c>
      <c r="D14" s="316">
        <f t="shared" si="24"/>
        <v>0</v>
      </c>
      <c r="E14" s="374">
        <f t="shared" si="24"/>
        <v>0</v>
      </c>
      <c r="F14" s="374">
        <f t="shared" si="24"/>
        <v>0</v>
      </c>
      <c r="G14" s="374">
        <f t="shared" si="24"/>
        <v>0</v>
      </c>
      <c r="H14" s="375">
        <f t="shared" si="24"/>
        <v>0</v>
      </c>
      <c r="I14" s="14">
        <f t="shared" si="8"/>
        <v>0</v>
      </c>
      <c r="J14" s="14">
        <f t="shared" si="9"/>
        <v>0</v>
      </c>
      <c r="K14" s="278"/>
      <c r="L14" s="315">
        <v>0</v>
      </c>
      <c r="M14" s="316">
        <v>0</v>
      </c>
      <c r="N14" s="374">
        <v>0</v>
      </c>
      <c r="O14" s="374">
        <v>0</v>
      </c>
      <c r="P14" s="374">
        <v>0</v>
      </c>
      <c r="Q14" s="375">
        <v>0</v>
      </c>
      <c r="R14" s="14">
        <f t="shared" si="10"/>
        <v>0</v>
      </c>
      <c r="S14" s="14">
        <f t="shared" si="11"/>
        <v>0</v>
      </c>
      <c r="T14" s="278"/>
      <c r="U14" s="315">
        <v>0</v>
      </c>
      <c r="V14" s="316">
        <v>0</v>
      </c>
      <c r="W14" s="374">
        <v>0</v>
      </c>
      <c r="X14" s="374">
        <v>0</v>
      </c>
      <c r="Y14" s="374">
        <v>0</v>
      </c>
      <c r="Z14" s="375">
        <v>0</v>
      </c>
      <c r="AA14" s="14">
        <f t="shared" si="12"/>
        <v>0</v>
      </c>
      <c r="AB14" s="14">
        <f t="shared" si="13"/>
        <v>0</v>
      </c>
      <c r="AC14" s="278"/>
      <c r="AD14" s="315">
        <v>0</v>
      </c>
      <c r="AE14" s="316">
        <v>0</v>
      </c>
      <c r="AF14" s="374">
        <v>0</v>
      </c>
      <c r="AG14" s="374">
        <v>0</v>
      </c>
      <c r="AH14" s="374">
        <v>0</v>
      </c>
      <c r="AI14" s="375">
        <v>0</v>
      </c>
      <c r="AJ14" s="14">
        <f t="shared" si="14"/>
        <v>0</v>
      </c>
      <c r="AK14" s="14">
        <f t="shared" si="15"/>
        <v>0</v>
      </c>
      <c r="AL14" s="278"/>
      <c r="AM14" s="315">
        <v>0</v>
      </c>
      <c r="AN14" s="316">
        <v>0</v>
      </c>
      <c r="AO14" s="374">
        <v>0</v>
      </c>
      <c r="AP14" s="374">
        <v>0</v>
      </c>
      <c r="AQ14" s="374">
        <v>0</v>
      </c>
      <c r="AR14" s="375">
        <v>0</v>
      </c>
      <c r="AS14" s="14">
        <f t="shared" si="16"/>
        <v>0</v>
      </c>
      <c r="AT14" s="14">
        <f t="shared" si="17"/>
        <v>0</v>
      </c>
      <c r="AU14" s="278"/>
      <c r="AV14" s="512">
        <v>0</v>
      </c>
      <c r="AW14" s="513">
        <v>0</v>
      </c>
      <c r="AX14" s="514">
        <v>0</v>
      </c>
      <c r="AY14" s="514">
        <v>0</v>
      </c>
      <c r="AZ14" s="514">
        <v>0</v>
      </c>
      <c r="BA14" s="515">
        <v>0</v>
      </c>
      <c r="BB14" s="14">
        <f t="shared" si="18"/>
        <v>0</v>
      </c>
      <c r="BC14" s="14">
        <f t="shared" si="19"/>
        <v>0</v>
      </c>
      <c r="BD14" s="278"/>
      <c r="BE14" s="512">
        <v>0</v>
      </c>
      <c r="BF14" s="513">
        <v>0</v>
      </c>
      <c r="BG14" s="514">
        <v>0</v>
      </c>
      <c r="BH14" s="514">
        <v>0</v>
      </c>
      <c r="BI14" s="514">
        <v>0</v>
      </c>
      <c r="BJ14" s="515">
        <v>0</v>
      </c>
      <c r="BK14" s="14">
        <f t="shared" si="20"/>
        <v>0</v>
      </c>
      <c r="BL14" s="14">
        <f t="shared" si="21"/>
        <v>0</v>
      </c>
      <c r="BM14" s="278"/>
      <c r="BN14" s="512">
        <v>0</v>
      </c>
      <c r="BO14" s="513">
        <v>0</v>
      </c>
      <c r="BP14" s="514">
        <v>0</v>
      </c>
      <c r="BQ14" s="514">
        <v>0</v>
      </c>
      <c r="BR14" s="514">
        <v>0</v>
      </c>
      <c r="BS14" s="515">
        <v>0</v>
      </c>
      <c r="BT14" s="14">
        <f t="shared" si="22"/>
        <v>0</v>
      </c>
      <c r="BU14" s="14">
        <f t="shared" si="23"/>
        <v>0</v>
      </c>
      <c r="BV14" s="278"/>
      <c r="BW14" s="187"/>
    </row>
    <row r="15" spans="1:75" x14ac:dyDescent="0.35">
      <c r="A15" s="36" t="s">
        <v>387</v>
      </c>
      <c r="B15" s="277"/>
      <c r="C15" s="315">
        <f t="shared" si="24"/>
        <v>0</v>
      </c>
      <c r="D15" s="316">
        <f t="shared" si="24"/>
        <v>0</v>
      </c>
      <c r="E15" s="374">
        <f t="shared" si="24"/>
        <v>0</v>
      </c>
      <c r="F15" s="374">
        <f t="shared" si="24"/>
        <v>0</v>
      </c>
      <c r="G15" s="374">
        <f t="shared" si="24"/>
        <v>0</v>
      </c>
      <c r="H15" s="375">
        <f t="shared" si="24"/>
        <v>0</v>
      </c>
      <c r="I15" s="14">
        <f t="shared" si="8"/>
        <v>0</v>
      </c>
      <c r="J15" s="14">
        <f t="shared" si="9"/>
        <v>0</v>
      </c>
      <c r="K15" s="278"/>
      <c r="L15" s="315">
        <v>0</v>
      </c>
      <c r="M15" s="316">
        <v>0</v>
      </c>
      <c r="N15" s="374">
        <v>0</v>
      </c>
      <c r="O15" s="374">
        <v>0</v>
      </c>
      <c r="P15" s="374">
        <v>0</v>
      </c>
      <c r="Q15" s="375">
        <v>0</v>
      </c>
      <c r="R15" s="14">
        <f t="shared" si="10"/>
        <v>0</v>
      </c>
      <c r="S15" s="14">
        <f t="shared" si="11"/>
        <v>0</v>
      </c>
      <c r="T15" s="278"/>
      <c r="U15" s="315">
        <v>0</v>
      </c>
      <c r="V15" s="316">
        <v>0</v>
      </c>
      <c r="W15" s="374">
        <v>0</v>
      </c>
      <c r="X15" s="374">
        <v>0</v>
      </c>
      <c r="Y15" s="374">
        <v>0</v>
      </c>
      <c r="Z15" s="375">
        <v>0</v>
      </c>
      <c r="AA15" s="14">
        <f t="shared" si="12"/>
        <v>0</v>
      </c>
      <c r="AB15" s="14">
        <f t="shared" si="13"/>
        <v>0</v>
      </c>
      <c r="AC15" s="278"/>
      <c r="AD15" s="315">
        <v>0</v>
      </c>
      <c r="AE15" s="316">
        <v>0</v>
      </c>
      <c r="AF15" s="374">
        <v>0</v>
      </c>
      <c r="AG15" s="374">
        <v>0</v>
      </c>
      <c r="AH15" s="374">
        <v>0</v>
      </c>
      <c r="AI15" s="375">
        <v>0</v>
      </c>
      <c r="AJ15" s="14">
        <f t="shared" si="14"/>
        <v>0</v>
      </c>
      <c r="AK15" s="14">
        <f t="shared" si="15"/>
        <v>0</v>
      </c>
      <c r="AL15" s="278"/>
      <c r="AM15" s="315">
        <v>0</v>
      </c>
      <c r="AN15" s="316">
        <v>0</v>
      </c>
      <c r="AO15" s="374">
        <v>0</v>
      </c>
      <c r="AP15" s="374">
        <v>0</v>
      </c>
      <c r="AQ15" s="374">
        <v>0</v>
      </c>
      <c r="AR15" s="375">
        <v>0</v>
      </c>
      <c r="AS15" s="14">
        <f t="shared" si="16"/>
        <v>0</v>
      </c>
      <c r="AT15" s="14">
        <f t="shared" si="17"/>
        <v>0</v>
      </c>
      <c r="AU15" s="278"/>
      <c r="AV15" s="512">
        <v>0</v>
      </c>
      <c r="AW15" s="513">
        <v>0</v>
      </c>
      <c r="AX15" s="514">
        <v>0</v>
      </c>
      <c r="AY15" s="514">
        <v>0</v>
      </c>
      <c r="AZ15" s="514">
        <v>0</v>
      </c>
      <c r="BA15" s="515">
        <v>0</v>
      </c>
      <c r="BB15" s="14">
        <f t="shared" si="18"/>
        <v>0</v>
      </c>
      <c r="BC15" s="14">
        <f t="shared" si="19"/>
        <v>0</v>
      </c>
      <c r="BD15" s="278"/>
      <c r="BE15" s="512">
        <v>0</v>
      </c>
      <c r="BF15" s="513">
        <v>0</v>
      </c>
      <c r="BG15" s="514">
        <v>0</v>
      </c>
      <c r="BH15" s="514">
        <v>0</v>
      </c>
      <c r="BI15" s="514">
        <v>0</v>
      </c>
      <c r="BJ15" s="515">
        <v>0</v>
      </c>
      <c r="BK15" s="14">
        <f t="shared" si="20"/>
        <v>0</v>
      </c>
      <c r="BL15" s="14">
        <f t="shared" si="21"/>
        <v>0</v>
      </c>
      <c r="BM15" s="278"/>
      <c r="BN15" s="512">
        <v>0</v>
      </c>
      <c r="BO15" s="513">
        <v>0</v>
      </c>
      <c r="BP15" s="514">
        <v>0</v>
      </c>
      <c r="BQ15" s="514">
        <v>0</v>
      </c>
      <c r="BR15" s="514">
        <v>0</v>
      </c>
      <c r="BS15" s="515">
        <v>0</v>
      </c>
      <c r="BT15" s="14">
        <f t="shared" si="22"/>
        <v>0</v>
      </c>
      <c r="BU15" s="14">
        <f t="shared" si="23"/>
        <v>0</v>
      </c>
      <c r="BV15" s="278"/>
      <c r="BW15" s="187"/>
    </row>
    <row r="16" spans="1:75" x14ac:dyDescent="0.35">
      <c r="A16" s="59" t="s">
        <v>388</v>
      </c>
      <c r="B16" s="279"/>
      <c r="C16" s="439">
        <f t="shared" si="24"/>
        <v>0</v>
      </c>
      <c r="D16" s="321">
        <f t="shared" si="24"/>
        <v>0</v>
      </c>
      <c r="E16" s="440">
        <f t="shared" si="24"/>
        <v>0</v>
      </c>
      <c r="F16" s="440">
        <f t="shared" si="24"/>
        <v>0</v>
      </c>
      <c r="G16" s="440">
        <f t="shared" si="24"/>
        <v>0</v>
      </c>
      <c r="H16" s="441">
        <f t="shared" si="24"/>
        <v>0</v>
      </c>
      <c r="I16" s="16">
        <f t="shared" si="8"/>
        <v>0</v>
      </c>
      <c r="J16" s="16">
        <f t="shared" si="9"/>
        <v>0</v>
      </c>
      <c r="K16" s="278"/>
      <c r="L16" s="439">
        <v>0</v>
      </c>
      <c r="M16" s="321">
        <v>0</v>
      </c>
      <c r="N16" s="440">
        <v>0</v>
      </c>
      <c r="O16" s="440">
        <v>0</v>
      </c>
      <c r="P16" s="440">
        <v>0</v>
      </c>
      <c r="Q16" s="441">
        <v>0</v>
      </c>
      <c r="R16" s="16">
        <f t="shared" si="10"/>
        <v>0</v>
      </c>
      <c r="S16" s="16">
        <f t="shared" si="11"/>
        <v>0</v>
      </c>
      <c r="T16" s="278"/>
      <c r="U16" s="439">
        <v>0</v>
      </c>
      <c r="V16" s="321">
        <v>0</v>
      </c>
      <c r="W16" s="440">
        <v>0</v>
      </c>
      <c r="X16" s="440">
        <v>0</v>
      </c>
      <c r="Y16" s="440">
        <v>0</v>
      </c>
      <c r="Z16" s="441">
        <v>0</v>
      </c>
      <c r="AA16" s="16">
        <f t="shared" si="12"/>
        <v>0</v>
      </c>
      <c r="AB16" s="16">
        <f t="shared" si="13"/>
        <v>0</v>
      </c>
      <c r="AC16" s="278"/>
      <c r="AD16" s="439">
        <v>0</v>
      </c>
      <c r="AE16" s="321">
        <v>0</v>
      </c>
      <c r="AF16" s="440">
        <v>0</v>
      </c>
      <c r="AG16" s="440">
        <v>0</v>
      </c>
      <c r="AH16" s="440">
        <v>0</v>
      </c>
      <c r="AI16" s="441">
        <v>0</v>
      </c>
      <c r="AJ16" s="16">
        <f t="shared" si="14"/>
        <v>0</v>
      </c>
      <c r="AK16" s="16">
        <f t="shared" si="15"/>
        <v>0</v>
      </c>
      <c r="AL16" s="278"/>
      <c r="AM16" s="439">
        <v>0</v>
      </c>
      <c r="AN16" s="321">
        <v>0</v>
      </c>
      <c r="AO16" s="440">
        <v>0</v>
      </c>
      <c r="AP16" s="440">
        <v>0</v>
      </c>
      <c r="AQ16" s="440">
        <v>0</v>
      </c>
      <c r="AR16" s="441">
        <v>0</v>
      </c>
      <c r="AS16" s="16">
        <f t="shared" si="16"/>
        <v>0</v>
      </c>
      <c r="AT16" s="16">
        <f t="shared" si="17"/>
        <v>0</v>
      </c>
      <c r="AU16" s="278"/>
      <c r="AV16" s="516">
        <v>0</v>
      </c>
      <c r="AW16" s="517">
        <v>0</v>
      </c>
      <c r="AX16" s="518">
        <v>0</v>
      </c>
      <c r="AY16" s="518">
        <v>0</v>
      </c>
      <c r="AZ16" s="518">
        <v>0</v>
      </c>
      <c r="BA16" s="519">
        <v>0</v>
      </c>
      <c r="BB16" s="16">
        <f t="shared" si="18"/>
        <v>0</v>
      </c>
      <c r="BC16" s="16">
        <f t="shared" si="19"/>
        <v>0</v>
      </c>
      <c r="BD16" s="278"/>
      <c r="BE16" s="516">
        <v>0</v>
      </c>
      <c r="BF16" s="517">
        <v>0</v>
      </c>
      <c r="BG16" s="518">
        <v>0</v>
      </c>
      <c r="BH16" s="518">
        <v>0</v>
      </c>
      <c r="BI16" s="518">
        <v>0</v>
      </c>
      <c r="BJ16" s="519">
        <v>0</v>
      </c>
      <c r="BK16" s="16">
        <f t="shared" si="20"/>
        <v>0</v>
      </c>
      <c r="BL16" s="16">
        <f t="shared" si="21"/>
        <v>0</v>
      </c>
      <c r="BM16" s="278"/>
      <c r="BN16" s="516">
        <v>0</v>
      </c>
      <c r="BO16" s="517">
        <v>0</v>
      </c>
      <c r="BP16" s="518">
        <v>0</v>
      </c>
      <c r="BQ16" s="518">
        <v>0</v>
      </c>
      <c r="BR16" s="518">
        <v>0</v>
      </c>
      <c r="BS16" s="519">
        <v>0</v>
      </c>
      <c r="BT16" s="16">
        <f t="shared" si="22"/>
        <v>0</v>
      </c>
      <c r="BU16" s="16">
        <f t="shared" si="23"/>
        <v>0</v>
      </c>
      <c r="BV16" s="278"/>
      <c r="BW16" s="202"/>
    </row>
    <row r="17" spans="1:75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L17" s="49"/>
      <c r="M17" s="49"/>
      <c r="N17" s="49"/>
      <c r="O17" s="49"/>
      <c r="P17" s="49"/>
      <c r="Q17" s="49"/>
      <c r="R17" s="49"/>
      <c r="S17" s="49"/>
      <c r="U17" s="49"/>
      <c r="V17" s="49"/>
      <c r="W17" s="49"/>
      <c r="X17" s="49"/>
      <c r="Y17" s="49"/>
      <c r="Z17" s="49"/>
      <c r="AA17" s="49"/>
      <c r="AB17" s="49"/>
      <c r="AD17" s="49"/>
      <c r="AE17" s="49"/>
      <c r="AF17" s="49"/>
      <c r="AG17" s="49"/>
      <c r="AH17" s="49"/>
      <c r="AI17" s="49"/>
      <c r="AJ17" s="49"/>
      <c r="AK17" s="49"/>
      <c r="AM17" s="49"/>
      <c r="AN17" s="49"/>
      <c r="AO17" s="49"/>
      <c r="AP17" s="49"/>
      <c r="AQ17" s="49"/>
      <c r="AR17" s="49"/>
      <c r="AS17" s="49"/>
      <c r="AT17" s="49"/>
      <c r="AV17" s="49"/>
      <c r="AW17" s="49"/>
      <c r="AX17" s="49"/>
      <c r="AY17" s="49"/>
      <c r="AZ17" s="49"/>
      <c r="BA17" s="49"/>
      <c r="BB17" s="49"/>
      <c r="BC17" s="49"/>
      <c r="BE17" s="49"/>
      <c r="BF17" s="49"/>
      <c r="BG17" s="49"/>
      <c r="BH17" s="49"/>
      <c r="BI17" s="49"/>
      <c r="BJ17" s="49"/>
      <c r="BK17" s="49"/>
      <c r="BL17" s="49"/>
      <c r="BN17" s="49"/>
      <c r="BO17" s="49"/>
      <c r="BP17" s="49"/>
      <c r="BQ17" s="49"/>
      <c r="BR17" s="49"/>
      <c r="BS17" s="49"/>
      <c r="BT17" s="49"/>
      <c r="BU17" s="49"/>
    </row>
    <row r="18" spans="1:75" x14ac:dyDescent="0.35">
      <c r="A18" s="42" t="s">
        <v>103</v>
      </c>
      <c r="B18" s="43"/>
      <c r="C18" s="44"/>
      <c r="D18" s="44"/>
      <c r="E18" s="44"/>
      <c r="F18" s="44"/>
      <c r="G18" s="44"/>
      <c r="H18" s="44"/>
      <c r="I18" s="44"/>
      <c r="J18" s="44"/>
      <c r="L18" s="44"/>
      <c r="M18" s="44"/>
      <c r="N18" s="44"/>
      <c r="O18" s="44"/>
      <c r="P18" s="44"/>
      <c r="Q18" s="44"/>
      <c r="R18" s="44"/>
      <c r="S18" s="44"/>
      <c r="U18" s="44"/>
      <c r="V18" s="44"/>
      <c r="W18" s="44"/>
      <c r="X18" s="44"/>
      <c r="Y18" s="44"/>
      <c r="Z18" s="44"/>
      <c r="AA18" s="44"/>
      <c r="AB18" s="44"/>
      <c r="AD18" s="44"/>
      <c r="AE18" s="44"/>
      <c r="AF18" s="44"/>
      <c r="AG18" s="44"/>
      <c r="AH18" s="44"/>
      <c r="AI18" s="44"/>
      <c r="AJ18" s="44"/>
      <c r="AK18" s="44"/>
      <c r="AM18" s="44"/>
      <c r="AN18" s="44"/>
      <c r="AO18" s="44"/>
      <c r="AP18" s="44"/>
      <c r="AQ18" s="44"/>
      <c r="AR18" s="44"/>
      <c r="AS18" s="44"/>
      <c r="AT18" s="44"/>
      <c r="AV18" s="44"/>
      <c r="AW18" s="44"/>
      <c r="AX18" s="44"/>
      <c r="AY18" s="44"/>
      <c r="AZ18" s="44"/>
      <c r="BA18" s="44"/>
      <c r="BB18" s="44"/>
      <c r="BC18" s="44"/>
      <c r="BE18" s="44"/>
      <c r="BF18" s="44"/>
      <c r="BG18" s="44"/>
      <c r="BH18" s="44"/>
      <c r="BI18" s="44"/>
      <c r="BJ18" s="44"/>
      <c r="BK18" s="44"/>
      <c r="BL18" s="44"/>
      <c r="BN18" s="44"/>
      <c r="BO18" s="44"/>
      <c r="BP18" s="44"/>
      <c r="BQ18" s="44"/>
      <c r="BR18" s="44"/>
      <c r="BS18" s="44"/>
      <c r="BT18" s="44"/>
      <c r="BU18" s="44"/>
    </row>
    <row r="19" spans="1:75" x14ac:dyDescent="0.35">
      <c r="L19" s="158"/>
      <c r="M19" s="158"/>
      <c r="N19" s="158"/>
      <c r="O19" s="158"/>
      <c r="P19" s="158"/>
      <c r="Q19" s="158"/>
      <c r="AA19" s="31"/>
      <c r="AD19" s="158" t="e">
        <f>AD22-#REF!</f>
        <v>#REF!</v>
      </c>
    </row>
    <row r="20" spans="1:75" ht="25" customHeight="1" x14ac:dyDescent="0.35">
      <c r="A20" s="678" t="s">
        <v>184</v>
      </c>
      <c r="B20" s="678" t="s">
        <v>410</v>
      </c>
      <c r="C20" s="3">
        <f>Annee</f>
        <v>2024</v>
      </c>
      <c r="D20" s="291">
        <f>C20+1</f>
        <v>2025</v>
      </c>
      <c r="E20" s="291">
        <f t="shared" ref="E20:G20" si="25">D20+1</f>
        <v>2026</v>
      </c>
      <c r="F20" s="291">
        <f t="shared" si="25"/>
        <v>2027</v>
      </c>
      <c r="G20" s="291">
        <f t="shared" si="25"/>
        <v>2028</v>
      </c>
      <c r="H20" s="295">
        <f>G20+1</f>
        <v>2029</v>
      </c>
      <c r="I20" s="179" t="s">
        <v>271</v>
      </c>
      <c r="J20" s="4" t="s">
        <v>62</v>
      </c>
      <c r="L20" s="3">
        <f>Annee</f>
        <v>2024</v>
      </c>
      <c r="M20" s="291">
        <f>L20+1</f>
        <v>2025</v>
      </c>
      <c r="N20" s="291">
        <f t="shared" ref="N20:P20" si="26">M20+1</f>
        <v>2026</v>
      </c>
      <c r="O20" s="291">
        <f t="shared" si="26"/>
        <v>2027</v>
      </c>
      <c r="P20" s="291">
        <f t="shared" si="26"/>
        <v>2028</v>
      </c>
      <c r="Q20" s="295">
        <f>P20+1</f>
        <v>2029</v>
      </c>
      <c r="R20" s="179" t="s">
        <v>271</v>
      </c>
      <c r="S20" s="4" t="s">
        <v>62</v>
      </c>
      <c r="U20" s="3">
        <f>Annee</f>
        <v>2024</v>
      </c>
      <c r="V20" s="291">
        <f>U20+1</f>
        <v>2025</v>
      </c>
      <c r="W20" s="291">
        <f t="shared" ref="W20:Y20" si="27">V20+1</f>
        <v>2026</v>
      </c>
      <c r="X20" s="291">
        <f t="shared" si="27"/>
        <v>2027</v>
      </c>
      <c r="Y20" s="291">
        <f t="shared" si="27"/>
        <v>2028</v>
      </c>
      <c r="Z20" s="295">
        <f>Y20+1</f>
        <v>2029</v>
      </c>
      <c r="AA20" s="179" t="s">
        <v>271</v>
      </c>
      <c r="AB20" s="4" t="s">
        <v>62</v>
      </c>
      <c r="AD20" s="3">
        <f>Annee</f>
        <v>2024</v>
      </c>
      <c r="AE20" s="291">
        <f>AD20+1</f>
        <v>2025</v>
      </c>
      <c r="AF20" s="291">
        <f t="shared" ref="AF20:AH20" si="28">AE20+1</f>
        <v>2026</v>
      </c>
      <c r="AG20" s="291">
        <f t="shared" si="28"/>
        <v>2027</v>
      </c>
      <c r="AH20" s="291">
        <f t="shared" si="28"/>
        <v>2028</v>
      </c>
      <c r="AI20" s="295">
        <f>AH20+1</f>
        <v>2029</v>
      </c>
      <c r="AJ20" s="179" t="s">
        <v>271</v>
      </c>
      <c r="AK20" s="4" t="s">
        <v>62</v>
      </c>
      <c r="AM20" s="3">
        <f>Annee</f>
        <v>2024</v>
      </c>
      <c r="AN20" s="291">
        <f>AM20+1</f>
        <v>2025</v>
      </c>
      <c r="AO20" s="291">
        <f t="shared" ref="AO20:AQ20" si="29">AN20+1</f>
        <v>2026</v>
      </c>
      <c r="AP20" s="291">
        <f t="shared" si="29"/>
        <v>2027</v>
      </c>
      <c r="AQ20" s="291">
        <f t="shared" si="29"/>
        <v>2028</v>
      </c>
      <c r="AR20" s="295">
        <f>AQ20+1</f>
        <v>2029</v>
      </c>
      <c r="AS20" s="179" t="s">
        <v>271</v>
      </c>
      <c r="AT20" s="4" t="s">
        <v>62</v>
      </c>
      <c r="AV20" s="291">
        <f>Annee</f>
        <v>2024</v>
      </c>
      <c r="AW20" s="291">
        <f>AV20+1</f>
        <v>2025</v>
      </c>
      <c r="AX20" s="291">
        <f t="shared" ref="AX20:AZ20" si="30">AW20+1</f>
        <v>2026</v>
      </c>
      <c r="AY20" s="291">
        <f t="shared" si="30"/>
        <v>2027</v>
      </c>
      <c r="AZ20" s="291">
        <f t="shared" si="30"/>
        <v>2028</v>
      </c>
      <c r="BA20" s="295">
        <f>AZ20+1</f>
        <v>2029</v>
      </c>
      <c r="BB20" s="179" t="s">
        <v>271</v>
      </c>
      <c r="BC20" s="4" t="s">
        <v>62</v>
      </c>
      <c r="BE20" s="291">
        <f>Annee</f>
        <v>2024</v>
      </c>
      <c r="BF20" s="291">
        <f>BE20+1</f>
        <v>2025</v>
      </c>
      <c r="BG20" s="291">
        <f t="shared" ref="BG20:BI20" si="31">BF20+1</f>
        <v>2026</v>
      </c>
      <c r="BH20" s="291">
        <f t="shared" si="31"/>
        <v>2027</v>
      </c>
      <c r="BI20" s="291">
        <f t="shared" si="31"/>
        <v>2028</v>
      </c>
      <c r="BJ20" s="295">
        <f>BI20+1</f>
        <v>2029</v>
      </c>
      <c r="BK20" s="179" t="s">
        <v>271</v>
      </c>
      <c r="BL20" s="4" t="s">
        <v>62</v>
      </c>
      <c r="BN20" s="291">
        <f>Annee</f>
        <v>2024</v>
      </c>
      <c r="BO20" s="291">
        <f>BN20+1</f>
        <v>2025</v>
      </c>
      <c r="BP20" s="291">
        <f t="shared" ref="BP20:BR20" si="32">BO20+1</f>
        <v>2026</v>
      </c>
      <c r="BQ20" s="291">
        <f t="shared" si="32"/>
        <v>2027</v>
      </c>
      <c r="BR20" s="291">
        <f t="shared" si="32"/>
        <v>2028</v>
      </c>
      <c r="BS20" s="295">
        <f>BR20+1</f>
        <v>2029</v>
      </c>
      <c r="BT20" s="179" t="s">
        <v>271</v>
      </c>
      <c r="BU20" s="4" t="s">
        <v>62</v>
      </c>
      <c r="BW20" s="683" t="s">
        <v>305</v>
      </c>
    </row>
    <row r="21" spans="1:75" x14ac:dyDescent="0.35">
      <c r="A21" s="679"/>
      <c r="B21" s="679"/>
      <c r="C21" s="77">
        <v>12</v>
      </c>
      <c r="D21" s="77">
        <v>12</v>
      </c>
      <c r="E21" s="77">
        <v>12</v>
      </c>
      <c r="F21" s="77">
        <v>12</v>
      </c>
      <c r="G21" s="77">
        <v>12</v>
      </c>
      <c r="H21" s="181">
        <v>12</v>
      </c>
      <c r="I21" s="78">
        <f t="shared" ref="I21:I36" si="33">IFERROR(AVERAGE(C21:H21),0)</f>
        <v>12</v>
      </c>
      <c r="J21" s="78">
        <f t="shared" ref="J21:J36" si="34">SUM(C21:H21)</f>
        <v>72</v>
      </c>
      <c r="L21" s="77">
        <v>12</v>
      </c>
      <c r="M21" s="77">
        <v>12</v>
      </c>
      <c r="N21" s="77">
        <v>12</v>
      </c>
      <c r="O21" s="77">
        <v>12</v>
      </c>
      <c r="P21" s="77">
        <v>12</v>
      </c>
      <c r="Q21" s="181">
        <v>12</v>
      </c>
      <c r="R21" s="78">
        <f t="shared" ref="R21:R36" si="35">IFERROR(AVERAGE(L21:Q21),0)</f>
        <v>12</v>
      </c>
      <c r="S21" s="78">
        <f t="shared" ref="S21:S36" si="36">SUM(L21:Q21)</f>
        <v>72</v>
      </c>
      <c r="U21" s="77">
        <v>12</v>
      </c>
      <c r="V21" s="77">
        <v>12</v>
      </c>
      <c r="W21" s="77">
        <v>12</v>
      </c>
      <c r="X21" s="77">
        <v>12</v>
      </c>
      <c r="Y21" s="77">
        <v>12</v>
      </c>
      <c r="Z21" s="181">
        <v>12</v>
      </c>
      <c r="AA21" s="78">
        <f t="shared" ref="AA21:AA36" si="37">IFERROR(AVERAGE(U21:Z21),0)</f>
        <v>12</v>
      </c>
      <c r="AB21" s="78">
        <f t="shared" ref="AB21:AB36" si="38">SUM(U21:Z21)</f>
        <v>72</v>
      </c>
      <c r="AD21" s="77">
        <v>12</v>
      </c>
      <c r="AE21" s="77">
        <v>12</v>
      </c>
      <c r="AF21" s="77">
        <v>12</v>
      </c>
      <c r="AG21" s="77">
        <v>12</v>
      </c>
      <c r="AH21" s="77">
        <v>12</v>
      </c>
      <c r="AI21" s="181">
        <v>12</v>
      </c>
      <c r="AJ21" s="78">
        <f t="shared" ref="AJ21:AJ36" si="39">IFERROR(AVERAGE(AD21:AI21),0)</f>
        <v>12</v>
      </c>
      <c r="AK21" s="78">
        <f t="shared" ref="AK21:AK36" si="40">SUM(AD21:AI21)</f>
        <v>72</v>
      </c>
      <c r="AM21" s="77">
        <v>12</v>
      </c>
      <c r="AN21" s="77">
        <v>12</v>
      </c>
      <c r="AO21" s="77">
        <v>12</v>
      </c>
      <c r="AP21" s="77">
        <v>12</v>
      </c>
      <c r="AQ21" s="77">
        <v>12</v>
      </c>
      <c r="AR21" s="181">
        <v>12</v>
      </c>
      <c r="AS21" s="78">
        <f t="shared" ref="AS21:AS36" si="41">IFERROR(AVERAGE(AM21:AR21),0)</f>
        <v>12</v>
      </c>
      <c r="AT21" s="78">
        <f t="shared" ref="AT21:AT36" si="42">SUM(AM21:AR21)</f>
        <v>72</v>
      </c>
      <c r="AV21" s="77">
        <v>12</v>
      </c>
      <c r="AW21" s="77">
        <v>12</v>
      </c>
      <c r="AX21" s="77">
        <v>12</v>
      </c>
      <c r="AY21" s="77">
        <v>12</v>
      </c>
      <c r="AZ21" s="77">
        <v>12</v>
      </c>
      <c r="BA21" s="181">
        <v>12</v>
      </c>
      <c r="BB21" s="78">
        <f t="shared" ref="BB21:BB36" si="43">IFERROR(AVERAGE(AV21:BA21),0)</f>
        <v>12</v>
      </c>
      <c r="BC21" s="78">
        <f t="shared" ref="BC21:BC36" si="44">SUM(AV21:BA21)</f>
        <v>72</v>
      </c>
      <c r="BE21" s="77">
        <v>12</v>
      </c>
      <c r="BF21" s="77">
        <v>12</v>
      </c>
      <c r="BG21" s="77">
        <v>12</v>
      </c>
      <c r="BH21" s="77">
        <v>12</v>
      </c>
      <c r="BI21" s="77">
        <v>12</v>
      </c>
      <c r="BJ21" s="181">
        <v>12</v>
      </c>
      <c r="BK21" s="78">
        <f t="shared" ref="BK21:BK36" si="45">IFERROR(AVERAGE(BE21:BJ21),0)</f>
        <v>12</v>
      </c>
      <c r="BL21" s="78">
        <f t="shared" ref="BL21:BL36" si="46">SUM(BE21:BJ21)</f>
        <v>72</v>
      </c>
      <c r="BN21" s="77">
        <v>12</v>
      </c>
      <c r="BO21" s="77">
        <v>12</v>
      </c>
      <c r="BP21" s="77">
        <v>12</v>
      </c>
      <c r="BQ21" s="77">
        <v>12</v>
      </c>
      <c r="BR21" s="77">
        <v>12</v>
      </c>
      <c r="BS21" s="181">
        <v>12</v>
      </c>
      <c r="BT21" s="78">
        <f t="shared" ref="BT21:BT36" si="47">IFERROR(AVERAGE(BN21:BS21),0)</f>
        <v>12</v>
      </c>
      <c r="BU21" s="78">
        <f t="shared" ref="BU21:BU36" si="48">SUM(BN21:BS21)</f>
        <v>72</v>
      </c>
      <c r="BW21" s="699"/>
    </row>
    <row r="22" spans="1:75" x14ac:dyDescent="0.35">
      <c r="A22" s="21" t="s">
        <v>209</v>
      </c>
      <c r="B22" s="150"/>
      <c r="C22" s="223">
        <f>SUM(C23:C28)</f>
        <v>21541497.909002699</v>
      </c>
      <c r="D22" s="221">
        <f t="shared" ref="D22:H22" si="49">SUM(D23:D28)</f>
        <v>21541497.909002699</v>
      </c>
      <c r="E22" s="221">
        <f t="shared" si="49"/>
        <v>21541497.909002699</v>
      </c>
      <c r="F22" s="221">
        <f t="shared" si="49"/>
        <v>21541497.909002699</v>
      </c>
      <c r="G22" s="221">
        <f t="shared" si="49"/>
        <v>21541497.909002699</v>
      </c>
      <c r="H22" s="222">
        <f t="shared" si="49"/>
        <v>21541497.909002699</v>
      </c>
      <c r="I22" s="221">
        <f t="shared" si="33"/>
        <v>21541497.909002695</v>
      </c>
      <c r="J22" s="224">
        <f>SUM(C22:H22)</f>
        <v>129248987.45401618</v>
      </c>
      <c r="K22" s="158"/>
      <c r="L22" s="223">
        <f>SUM(L23:L28)</f>
        <v>9635731.4790794533</v>
      </c>
      <c r="M22" s="221">
        <f t="shared" ref="M22:Q22" si="50">SUM(M23:M28)</f>
        <v>9635731.4790794533</v>
      </c>
      <c r="N22" s="221">
        <f t="shared" si="50"/>
        <v>9635731.4790794533</v>
      </c>
      <c r="O22" s="221">
        <f t="shared" si="50"/>
        <v>9635731.4790794533</v>
      </c>
      <c r="P22" s="221">
        <f t="shared" si="50"/>
        <v>9635731.4790794533</v>
      </c>
      <c r="Q22" s="222">
        <f t="shared" si="50"/>
        <v>9635731.4790794533</v>
      </c>
      <c r="R22" s="221">
        <f t="shared" si="35"/>
        <v>9635731.4790794533</v>
      </c>
      <c r="S22" s="224">
        <f t="shared" si="36"/>
        <v>57814388.874476723</v>
      </c>
      <c r="U22" s="223">
        <f>SUM(U23:U28)</f>
        <v>5182557.2995986734</v>
      </c>
      <c r="V22" s="221">
        <f t="shared" ref="V22:Z22" si="51">SUM(V23:V28)</f>
        <v>5182557.2995986734</v>
      </c>
      <c r="W22" s="221">
        <f t="shared" si="51"/>
        <v>5182557.2995986734</v>
      </c>
      <c r="X22" s="221">
        <f t="shared" si="51"/>
        <v>5182557.2995986734</v>
      </c>
      <c r="Y22" s="221">
        <f t="shared" si="51"/>
        <v>5182557.2995986734</v>
      </c>
      <c r="Z22" s="222">
        <f t="shared" si="51"/>
        <v>5182557.2995986734</v>
      </c>
      <c r="AA22" s="221">
        <f t="shared" si="37"/>
        <v>5182557.2995986724</v>
      </c>
      <c r="AB22" s="224">
        <f t="shared" si="38"/>
        <v>31095343.797592036</v>
      </c>
      <c r="AD22" s="223">
        <f>SUM(AD23:AD28)</f>
        <v>1834364.788573971</v>
      </c>
      <c r="AE22" s="221">
        <f t="shared" ref="AE22:AI22" si="52">SUM(AE23:AE28)</f>
        <v>1834364.788573971</v>
      </c>
      <c r="AF22" s="221">
        <f t="shared" si="52"/>
        <v>1834364.788573971</v>
      </c>
      <c r="AG22" s="221">
        <f t="shared" si="52"/>
        <v>1834364.788573971</v>
      </c>
      <c r="AH22" s="221">
        <f t="shared" si="52"/>
        <v>1834364.788573971</v>
      </c>
      <c r="AI22" s="222">
        <f t="shared" si="52"/>
        <v>1834364.788573971</v>
      </c>
      <c r="AJ22" s="221">
        <f t="shared" si="39"/>
        <v>1834364.788573971</v>
      </c>
      <c r="AK22" s="224">
        <f t="shared" si="40"/>
        <v>11006188.731443826</v>
      </c>
      <c r="AM22" s="223">
        <f>SUM(AM23:AM28)</f>
        <v>1759167.8601050177</v>
      </c>
      <c r="AN22" s="221">
        <f t="shared" ref="AN22:AR22" si="53">SUM(AN23:AN28)</f>
        <v>1759167.8601050177</v>
      </c>
      <c r="AO22" s="221">
        <f t="shared" si="53"/>
        <v>1759167.8601050177</v>
      </c>
      <c r="AP22" s="221">
        <f t="shared" si="53"/>
        <v>1759167.8601050177</v>
      </c>
      <c r="AQ22" s="221">
        <f t="shared" si="53"/>
        <v>1759167.8601050177</v>
      </c>
      <c r="AR22" s="222">
        <f t="shared" si="53"/>
        <v>1759167.8601050177</v>
      </c>
      <c r="AS22" s="221">
        <f t="shared" si="41"/>
        <v>1759167.8601050174</v>
      </c>
      <c r="AT22" s="224">
        <f t="shared" si="42"/>
        <v>10555007.160630105</v>
      </c>
      <c r="AV22" s="520">
        <f>SUM(AV23:AV28)</f>
        <v>974397.62981733517</v>
      </c>
      <c r="AW22" s="521">
        <f t="shared" ref="AW22:BA22" si="54">SUM(AW23:AW28)</f>
        <v>974397.62981733517</v>
      </c>
      <c r="AX22" s="521">
        <f t="shared" si="54"/>
        <v>974397.62981733517</v>
      </c>
      <c r="AY22" s="521">
        <f t="shared" si="54"/>
        <v>974397.62981733517</v>
      </c>
      <c r="AZ22" s="521">
        <f t="shared" si="54"/>
        <v>974397.62981733517</v>
      </c>
      <c r="BA22" s="522">
        <f t="shared" si="54"/>
        <v>974397.62981733517</v>
      </c>
      <c r="BB22" s="521">
        <f t="shared" si="43"/>
        <v>974397.62981733505</v>
      </c>
      <c r="BC22" s="523">
        <f t="shared" si="44"/>
        <v>5846385.7789040105</v>
      </c>
      <c r="BE22" s="520">
        <f>SUM(BE23:BE28)</f>
        <v>1756911.4067421416</v>
      </c>
      <c r="BF22" s="521">
        <f t="shared" ref="BF22:BJ22" si="55">SUM(BF23:BF28)</f>
        <v>1756911.4067421416</v>
      </c>
      <c r="BG22" s="521">
        <f t="shared" si="55"/>
        <v>1756911.4067421416</v>
      </c>
      <c r="BH22" s="521">
        <f t="shared" si="55"/>
        <v>1756911.4067421416</v>
      </c>
      <c r="BI22" s="521">
        <f t="shared" si="55"/>
        <v>1756911.4067421416</v>
      </c>
      <c r="BJ22" s="522">
        <f t="shared" si="55"/>
        <v>1756911.4067421416</v>
      </c>
      <c r="BK22" s="521">
        <f t="shared" si="45"/>
        <v>1756911.4067421413</v>
      </c>
      <c r="BL22" s="523">
        <f t="shared" si="46"/>
        <v>10541468.440452848</v>
      </c>
      <c r="BN22" s="520">
        <f>SUM(BN23:BN28)</f>
        <v>398367.44508610549</v>
      </c>
      <c r="BO22" s="521">
        <f t="shared" ref="BO22:BS22" si="56">SUM(BO23:BO28)</f>
        <v>398367.44508610549</v>
      </c>
      <c r="BP22" s="521">
        <f t="shared" si="56"/>
        <v>398367.44508610549</v>
      </c>
      <c r="BQ22" s="521">
        <f t="shared" si="56"/>
        <v>398367.44508610549</v>
      </c>
      <c r="BR22" s="521">
        <f t="shared" si="56"/>
        <v>398367.44508610549</v>
      </c>
      <c r="BS22" s="522">
        <f t="shared" si="56"/>
        <v>398367.44508610549</v>
      </c>
      <c r="BT22" s="521">
        <f t="shared" si="47"/>
        <v>398367.44508610549</v>
      </c>
      <c r="BU22" s="523">
        <f t="shared" si="48"/>
        <v>2390204.670516633</v>
      </c>
      <c r="BW22" s="188"/>
    </row>
    <row r="23" spans="1:75" x14ac:dyDescent="0.35">
      <c r="A23" s="25" t="s">
        <v>1</v>
      </c>
      <c r="B23" s="12">
        <f>IFERROR(J23/(J$7+J$9),"-")</f>
        <v>1.4603914969962242</v>
      </c>
      <c r="C23" s="315">
        <f>SUM(L23,U23,AD23,AM23,AV23,BE23,BN23,)</f>
        <v>8944941.0019766223</v>
      </c>
      <c r="D23" s="316">
        <f t="shared" ref="D23:H23" si="57">SUM(M23,V23,AE23,AN23,AW23,BF23,BO23,)</f>
        <v>8944941.0019766223</v>
      </c>
      <c r="E23" s="374">
        <f t="shared" si="57"/>
        <v>8944941.0019766223</v>
      </c>
      <c r="F23" s="374">
        <f t="shared" si="57"/>
        <v>8944941.0019766223</v>
      </c>
      <c r="G23" s="374">
        <f t="shared" si="57"/>
        <v>8944941.0019766223</v>
      </c>
      <c r="H23" s="375">
        <f t="shared" si="57"/>
        <v>8944941.0019766223</v>
      </c>
      <c r="I23" s="212">
        <f t="shared" si="33"/>
        <v>8944941.0019766223</v>
      </c>
      <c r="J23" s="14">
        <f t="shared" si="34"/>
        <v>53669646.011859737</v>
      </c>
      <c r="L23" s="315">
        <v>3983719.7121011191</v>
      </c>
      <c r="M23" s="316">
        <v>3983719.7121011191</v>
      </c>
      <c r="N23" s="374">
        <v>3983719.7121011191</v>
      </c>
      <c r="O23" s="374">
        <v>3983719.7121011191</v>
      </c>
      <c r="P23" s="374">
        <v>3983719.7121011191</v>
      </c>
      <c r="Q23" s="375">
        <v>3983719.7121011191</v>
      </c>
      <c r="R23" s="212">
        <f t="shared" si="35"/>
        <v>3983719.7121011191</v>
      </c>
      <c r="S23" s="14">
        <f t="shared" si="36"/>
        <v>23902318.272606716</v>
      </c>
      <c r="U23" s="315">
        <v>2142635.016171826</v>
      </c>
      <c r="V23" s="316">
        <v>2142635.016171826</v>
      </c>
      <c r="W23" s="374">
        <v>2142635.016171826</v>
      </c>
      <c r="X23" s="374">
        <v>2142635.016171826</v>
      </c>
      <c r="Y23" s="374">
        <v>2142635.016171826</v>
      </c>
      <c r="Z23" s="375">
        <v>2142635.016171826</v>
      </c>
      <c r="AA23" s="212">
        <f t="shared" si="37"/>
        <v>2142635.016171826</v>
      </c>
      <c r="AB23" s="14">
        <f t="shared" si="38"/>
        <v>12855810.097030956</v>
      </c>
      <c r="AD23" s="315">
        <v>769024.92750368151</v>
      </c>
      <c r="AE23" s="316">
        <v>769024.92750368151</v>
      </c>
      <c r="AF23" s="374">
        <v>769024.92750368151</v>
      </c>
      <c r="AG23" s="374">
        <v>769024.92750368151</v>
      </c>
      <c r="AH23" s="374">
        <v>769024.92750368151</v>
      </c>
      <c r="AI23" s="375">
        <v>769024.92750368151</v>
      </c>
      <c r="AJ23" s="212">
        <f t="shared" si="39"/>
        <v>769024.92750368163</v>
      </c>
      <c r="AK23" s="14">
        <f t="shared" si="40"/>
        <v>4614149.5650220895</v>
      </c>
      <c r="AM23" s="315">
        <v>737499.94794424926</v>
      </c>
      <c r="AN23" s="316">
        <v>737499.94794424926</v>
      </c>
      <c r="AO23" s="374">
        <v>737499.94794424926</v>
      </c>
      <c r="AP23" s="374">
        <v>737499.94794424926</v>
      </c>
      <c r="AQ23" s="374">
        <v>737499.94794424926</v>
      </c>
      <c r="AR23" s="375">
        <v>737499.94794424926</v>
      </c>
      <c r="AS23" s="212">
        <f t="shared" si="41"/>
        <v>737499.94794424914</v>
      </c>
      <c r="AT23" s="14">
        <f t="shared" si="42"/>
        <v>4424999.6876654951</v>
      </c>
      <c r="AV23" s="512">
        <v>408498.93723296258</v>
      </c>
      <c r="AW23" s="513">
        <v>408498.93723296258</v>
      </c>
      <c r="AX23" s="514">
        <v>408498.93723296258</v>
      </c>
      <c r="AY23" s="514">
        <v>408498.93723296258</v>
      </c>
      <c r="AZ23" s="514">
        <v>408498.93723296258</v>
      </c>
      <c r="BA23" s="515">
        <v>408498.93723296258</v>
      </c>
      <c r="BB23" s="212">
        <f t="shared" si="43"/>
        <v>408498.93723296258</v>
      </c>
      <c r="BC23" s="14">
        <f t="shared" si="44"/>
        <v>2450993.6233977755</v>
      </c>
      <c r="BE23" s="512">
        <v>736553.9698625668</v>
      </c>
      <c r="BF23" s="513">
        <v>736553.9698625668</v>
      </c>
      <c r="BG23" s="514">
        <v>736553.9698625668</v>
      </c>
      <c r="BH23" s="514">
        <v>736553.9698625668</v>
      </c>
      <c r="BI23" s="514">
        <v>736553.9698625668</v>
      </c>
      <c r="BJ23" s="515">
        <v>736553.9698625668</v>
      </c>
      <c r="BK23" s="212">
        <f t="shared" si="45"/>
        <v>736553.9698625668</v>
      </c>
      <c r="BL23" s="14">
        <f t="shared" si="46"/>
        <v>4419323.8191754008</v>
      </c>
      <c r="BN23" s="512">
        <v>167008.49116021686</v>
      </c>
      <c r="BO23" s="513">
        <v>167008.49116021686</v>
      </c>
      <c r="BP23" s="514">
        <v>167008.49116021686</v>
      </c>
      <c r="BQ23" s="514">
        <v>167008.49116021686</v>
      </c>
      <c r="BR23" s="514">
        <v>167008.49116021686</v>
      </c>
      <c r="BS23" s="515">
        <v>167008.49116021686</v>
      </c>
      <c r="BT23" s="212">
        <f t="shared" si="47"/>
        <v>167008.49116021686</v>
      </c>
      <c r="BU23" s="14">
        <f t="shared" si="48"/>
        <v>1002050.9469613011</v>
      </c>
      <c r="BW23" s="187" t="s">
        <v>315</v>
      </c>
    </row>
    <row r="24" spans="1:75" x14ac:dyDescent="0.35">
      <c r="A24" s="25" t="s">
        <v>167</v>
      </c>
      <c r="B24" s="12">
        <f>IFERROR(J24/(J$7+J$9),"-")</f>
        <v>2.0565708140931145</v>
      </c>
      <c r="C24" s="315">
        <f t="shared" ref="C24:H28" si="58">SUM(L24,U24,AD24,AM24,AV24,BE24,BN24,)</f>
        <v>12596556.907026079</v>
      </c>
      <c r="D24" s="316">
        <f t="shared" si="58"/>
        <v>12596556.907026079</v>
      </c>
      <c r="E24" s="374">
        <f t="shared" si="58"/>
        <v>12596556.907026079</v>
      </c>
      <c r="F24" s="374">
        <f t="shared" si="58"/>
        <v>12596556.907026079</v>
      </c>
      <c r="G24" s="374">
        <f t="shared" si="58"/>
        <v>12596556.907026079</v>
      </c>
      <c r="H24" s="375">
        <f t="shared" si="58"/>
        <v>12596556.907026079</v>
      </c>
      <c r="I24" s="212">
        <f t="shared" si="33"/>
        <v>12596556.90702608</v>
      </c>
      <c r="J24" s="14">
        <f t="shared" si="34"/>
        <v>75579341.442156479</v>
      </c>
      <c r="L24" s="315">
        <v>5652011.7669783346</v>
      </c>
      <c r="M24" s="316">
        <v>5652011.7669783346</v>
      </c>
      <c r="N24" s="374">
        <v>5652011.7669783346</v>
      </c>
      <c r="O24" s="374">
        <v>5652011.7669783346</v>
      </c>
      <c r="P24" s="374">
        <v>5652011.7669783346</v>
      </c>
      <c r="Q24" s="375">
        <v>5652011.7669783346</v>
      </c>
      <c r="R24" s="212">
        <f t="shared" si="35"/>
        <v>5652011.7669783346</v>
      </c>
      <c r="S24" s="14">
        <f t="shared" si="36"/>
        <v>33912070.601870008</v>
      </c>
      <c r="U24" s="315">
        <v>3039922.2834268473</v>
      </c>
      <c r="V24" s="316">
        <v>3039922.2834268473</v>
      </c>
      <c r="W24" s="374">
        <v>3039922.2834268473</v>
      </c>
      <c r="X24" s="374">
        <v>3039922.2834268473</v>
      </c>
      <c r="Y24" s="374">
        <v>3039922.2834268473</v>
      </c>
      <c r="Z24" s="375">
        <v>3039922.2834268473</v>
      </c>
      <c r="AA24" s="212">
        <f t="shared" si="37"/>
        <v>3039922.2834268473</v>
      </c>
      <c r="AB24" s="14">
        <f t="shared" si="38"/>
        <v>18239533.700561084</v>
      </c>
      <c r="AD24" s="315">
        <v>1065339.8610702895</v>
      </c>
      <c r="AE24" s="316">
        <v>1065339.8610702895</v>
      </c>
      <c r="AF24" s="374">
        <v>1065339.8610702895</v>
      </c>
      <c r="AG24" s="374">
        <v>1065339.8610702895</v>
      </c>
      <c r="AH24" s="374">
        <v>1065339.8610702895</v>
      </c>
      <c r="AI24" s="375">
        <v>1065339.8610702895</v>
      </c>
      <c r="AJ24" s="212">
        <f t="shared" si="39"/>
        <v>1065339.8610702895</v>
      </c>
      <c r="AK24" s="14">
        <f t="shared" si="40"/>
        <v>6392039.1664217366</v>
      </c>
      <c r="AM24" s="315">
        <v>1021667.9121607685</v>
      </c>
      <c r="AN24" s="316">
        <v>1021667.9121607685</v>
      </c>
      <c r="AO24" s="374">
        <v>1021667.9121607685</v>
      </c>
      <c r="AP24" s="374">
        <v>1021667.9121607685</v>
      </c>
      <c r="AQ24" s="374">
        <v>1021667.9121607685</v>
      </c>
      <c r="AR24" s="375">
        <v>1021667.9121607685</v>
      </c>
      <c r="AS24" s="212">
        <f t="shared" si="41"/>
        <v>1021667.9121607685</v>
      </c>
      <c r="AT24" s="14">
        <f t="shared" si="42"/>
        <v>6130007.4729646109</v>
      </c>
      <c r="AV24" s="512">
        <v>565898.69258437259</v>
      </c>
      <c r="AW24" s="513">
        <v>565898.69258437259</v>
      </c>
      <c r="AX24" s="514">
        <v>565898.69258437259</v>
      </c>
      <c r="AY24" s="514">
        <v>565898.69258437259</v>
      </c>
      <c r="AZ24" s="514">
        <v>565898.69258437259</v>
      </c>
      <c r="BA24" s="515">
        <v>565898.69258437259</v>
      </c>
      <c r="BB24" s="212">
        <f t="shared" si="43"/>
        <v>565898.69258437259</v>
      </c>
      <c r="BC24" s="14">
        <f t="shared" si="44"/>
        <v>3395392.1555062355</v>
      </c>
      <c r="BE24" s="512">
        <v>1020357.4368795749</v>
      </c>
      <c r="BF24" s="513">
        <v>1020357.4368795749</v>
      </c>
      <c r="BG24" s="514">
        <v>1020357.4368795749</v>
      </c>
      <c r="BH24" s="514">
        <v>1020357.4368795749</v>
      </c>
      <c r="BI24" s="514">
        <v>1020357.4368795749</v>
      </c>
      <c r="BJ24" s="515">
        <v>1020357.4368795749</v>
      </c>
      <c r="BK24" s="212">
        <f t="shared" si="45"/>
        <v>1020357.4368795749</v>
      </c>
      <c r="BL24" s="14">
        <f t="shared" si="46"/>
        <v>6122144.6212774497</v>
      </c>
      <c r="BN24" s="512">
        <v>231358.95392588867</v>
      </c>
      <c r="BO24" s="513">
        <v>231358.95392588867</v>
      </c>
      <c r="BP24" s="514">
        <v>231358.95392588867</v>
      </c>
      <c r="BQ24" s="514">
        <v>231358.95392588867</v>
      </c>
      <c r="BR24" s="514">
        <v>231358.95392588867</v>
      </c>
      <c r="BS24" s="515">
        <v>231358.95392588867</v>
      </c>
      <c r="BT24" s="212">
        <f t="shared" si="47"/>
        <v>231358.95392588867</v>
      </c>
      <c r="BU24" s="14">
        <f t="shared" si="48"/>
        <v>1388153.723555332</v>
      </c>
      <c r="BW24" s="187" t="s">
        <v>452</v>
      </c>
    </row>
    <row r="25" spans="1:75" x14ac:dyDescent="0.35">
      <c r="A25" s="25" t="s">
        <v>2</v>
      </c>
      <c r="B25" s="12">
        <f>IFERROR(J25/(J$7+J$9),"-")</f>
        <v>0</v>
      </c>
      <c r="C25" s="315">
        <f t="shared" si="58"/>
        <v>0</v>
      </c>
      <c r="D25" s="316">
        <f t="shared" si="58"/>
        <v>0</v>
      </c>
      <c r="E25" s="374">
        <f t="shared" si="58"/>
        <v>0</v>
      </c>
      <c r="F25" s="374">
        <f t="shared" si="58"/>
        <v>0</v>
      </c>
      <c r="G25" s="374">
        <f t="shared" si="58"/>
        <v>0</v>
      </c>
      <c r="H25" s="375">
        <f t="shared" si="58"/>
        <v>0</v>
      </c>
      <c r="I25" s="212">
        <f t="shared" si="33"/>
        <v>0</v>
      </c>
      <c r="J25" s="14">
        <f t="shared" si="34"/>
        <v>0</v>
      </c>
      <c r="L25" s="315">
        <v>0</v>
      </c>
      <c r="M25" s="316">
        <v>0</v>
      </c>
      <c r="N25" s="374">
        <v>0</v>
      </c>
      <c r="O25" s="374">
        <v>0</v>
      </c>
      <c r="P25" s="374">
        <v>0</v>
      </c>
      <c r="Q25" s="375">
        <v>0</v>
      </c>
      <c r="R25" s="212">
        <f t="shared" si="35"/>
        <v>0</v>
      </c>
      <c r="S25" s="14">
        <f t="shared" si="36"/>
        <v>0</v>
      </c>
      <c r="U25" s="315">
        <v>0</v>
      </c>
      <c r="V25" s="316">
        <v>0</v>
      </c>
      <c r="W25" s="374">
        <v>0</v>
      </c>
      <c r="X25" s="374">
        <v>0</v>
      </c>
      <c r="Y25" s="374">
        <v>0</v>
      </c>
      <c r="Z25" s="375">
        <v>0</v>
      </c>
      <c r="AA25" s="212">
        <f t="shared" si="37"/>
        <v>0</v>
      </c>
      <c r="AB25" s="14">
        <f t="shared" si="38"/>
        <v>0</v>
      </c>
      <c r="AD25" s="315">
        <v>0</v>
      </c>
      <c r="AE25" s="316">
        <v>0</v>
      </c>
      <c r="AF25" s="374">
        <v>0</v>
      </c>
      <c r="AG25" s="374">
        <v>0</v>
      </c>
      <c r="AH25" s="374">
        <v>0</v>
      </c>
      <c r="AI25" s="375">
        <v>0</v>
      </c>
      <c r="AJ25" s="212">
        <f t="shared" si="39"/>
        <v>0</v>
      </c>
      <c r="AK25" s="14">
        <f t="shared" si="40"/>
        <v>0</v>
      </c>
      <c r="AM25" s="315">
        <v>0</v>
      </c>
      <c r="AN25" s="316">
        <v>0</v>
      </c>
      <c r="AO25" s="374">
        <v>0</v>
      </c>
      <c r="AP25" s="374">
        <v>0</v>
      </c>
      <c r="AQ25" s="374">
        <v>0</v>
      </c>
      <c r="AR25" s="375">
        <v>0</v>
      </c>
      <c r="AS25" s="212">
        <f t="shared" si="41"/>
        <v>0</v>
      </c>
      <c r="AT25" s="14">
        <f t="shared" si="42"/>
        <v>0</v>
      </c>
      <c r="AV25" s="512">
        <v>0</v>
      </c>
      <c r="AW25" s="513">
        <v>0</v>
      </c>
      <c r="AX25" s="514">
        <v>0</v>
      </c>
      <c r="AY25" s="514">
        <v>0</v>
      </c>
      <c r="AZ25" s="514">
        <v>0</v>
      </c>
      <c r="BA25" s="515">
        <v>0</v>
      </c>
      <c r="BB25" s="212">
        <f t="shared" si="43"/>
        <v>0</v>
      </c>
      <c r="BC25" s="14">
        <f t="shared" si="44"/>
        <v>0</v>
      </c>
      <c r="BE25" s="512">
        <v>0</v>
      </c>
      <c r="BF25" s="513">
        <v>0</v>
      </c>
      <c r="BG25" s="514">
        <v>0</v>
      </c>
      <c r="BH25" s="514">
        <v>0</v>
      </c>
      <c r="BI25" s="514">
        <v>0</v>
      </c>
      <c r="BJ25" s="515">
        <v>0</v>
      </c>
      <c r="BK25" s="212">
        <f t="shared" si="45"/>
        <v>0</v>
      </c>
      <c r="BL25" s="14">
        <f t="shared" si="46"/>
        <v>0</v>
      </c>
      <c r="BN25" s="512">
        <v>0</v>
      </c>
      <c r="BO25" s="513">
        <v>0</v>
      </c>
      <c r="BP25" s="514">
        <v>0</v>
      </c>
      <c r="BQ25" s="514">
        <v>0</v>
      </c>
      <c r="BR25" s="514">
        <v>0</v>
      </c>
      <c r="BS25" s="515">
        <v>0</v>
      </c>
      <c r="BT25" s="212">
        <f t="shared" si="47"/>
        <v>0</v>
      </c>
      <c r="BU25" s="14">
        <f t="shared" si="48"/>
        <v>0</v>
      </c>
      <c r="BW25" s="187" t="s">
        <v>312</v>
      </c>
    </row>
    <row r="26" spans="1:75" x14ac:dyDescent="0.35">
      <c r="A26" s="169" t="s">
        <v>381</v>
      </c>
      <c r="B26" s="368">
        <f>IFERROR(J26/J$11,"-")</f>
        <v>0</v>
      </c>
      <c r="C26" s="413">
        <f t="shared" si="58"/>
        <v>0</v>
      </c>
      <c r="D26" s="374">
        <f t="shared" si="58"/>
        <v>0</v>
      </c>
      <c r="E26" s="374">
        <f t="shared" si="58"/>
        <v>0</v>
      </c>
      <c r="F26" s="374">
        <f t="shared" si="58"/>
        <v>0</v>
      </c>
      <c r="G26" s="374">
        <f t="shared" si="58"/>
        <v>0</v>
      </c>
      <c r="H26" s="375">
        <f t="shared" si="58"/>
        <v>0</v>
      </c>
      <c r="I26" s="212">
        <f t="shared" si="33"/>
        <v>0</v>
      </c>
      <c r="J26" s="14">
        <f t="shared" si="34"/>
        <v>0</v>
      </c>
      <c r="L26" s="413">
        <v>0</v>
      </c>
      <c r="M26" s="374">
        <v>0</v>
      </c>
      <c r="N26" s="374">
        <v>0</v>
      </c>
      <c r="O26" s="374">
        <v>0</v>
      </c>
      <c r="P26" s="374">
        <v>0</v>
      </c>
      <c r="Q26" s="375">
        <v>0</v>
      </c>
      <c r="R26" s="212">
        <f t="shared" si="35"/>
        <v>0</v>
      </c>
      <c r="S26" s="14">
        <f t="shared" si="36"/>
        <v>0</v>
      </c>
      <c r="U26" s="413">
        <v>0</v>
      </c>
      <c r="V26" s="374">
        <v>0</v>
      </c>
      <c r="W26" s="374">
        <v>0</v>
      </c>
      <c r="X26" s="374">
        <v>0</v>
      </c>
      <c r="Y26" s="374">
        <v>0</v>
      </c>
      <c r="Z26" s="375">
        <v>0</v>
      </c>
      <c r="AA26" s="212">
        <f t="shared" si="37"/>
        <v>0</v>
      </c>
      <c r="AB26" s="14">
        <f t="shared" si="38"/>
        <v>0</v>
      </c>
      <c r="AD26" s="413">
        <v>0</v>
      </c>
      <c r="AE26" s="374">
        <v>0</v>
      </c>
      <c r="AF26" s="374">
        <v>0</v>
      </c>
      <c r="AG26" s="374">
        <v>0</v>
      </c>
      <c r="AH26" s="374">
        <v>0</v>
      </c>
      <c r="AI26" s="375">
        <v>0</v>
      </c>
      <c r="AJ26" s="212">
        <f t="shared" si="39"/>
        <v>0</v>
      </c>
      <c r="AK26" s="14">
        <f t="shared" si="40"/>
        <v>0</v>
      </c>
      <c r="AM26" s="413">
        <v>0</v>
      </c>
      <c r="AN26" s="374">
        <v>0</v>
      </c>
      <c r="AO26" s="374">
        <v>0</v>
      </c>
      <c r="AP26" s="374">
        <v>0</v>
      </c>
      <c r="AQ26" s="374">
        <v>0</v>
      </c>
      <c r="AR26" s="375">
        <v>0</v>
      </c>
      <c r="AS26" s="212">
        <f t="shared" si="41"/>
        <v>0</v>
      </c>
      <c r="AT26" s="14">
        <f t="shared" si="42"/>
        <v>0</v>
      </c>
      <c r="AV26" s="524">
        <v>0</v>
      </c>
      <c r="AW26" s="514">
        <v>0</v>
      </c>
      <c r="AX26" s="514">
        <v>0</v>
      </c>
      <c r="AY26" s="514">
        <v>0</v>
      </c>
      <c r="AZ26" s="514">
        <v>0</v>
      </c>
      <c r="BA26" s="515">
        <v>0</v>
      </c>
      <c r="BB26" s="212">
        <f t="shared" si="43"/>
        <v>0</v>
      </c>
      <c r="BC26" s="14">
        <f t="shared" si="44"/>
        <v>0</v>
      </c>
      <c r="BE26" s="524">
        <v>0</v>
      </c>
      <c r="BF26" s="514">
        <v>0</v>
      </c>
      <c r="BG26" s="514">
        <v>0</v>
      </c>
      <c r="BH26" s="514">
        <v>0</v>
      </c>
      <c r="BI26" s="514">
        <v>0</v>
      </c>
      <c r="BJ26" s="515">
        <v>0</v>
      </c>
      <c r="BK26" s="212">
        <f t="shared" si="45"/>
        <v>0</v>
      </c>
      <c r="BL26" s="14">
        <f t="shared" si="46"/>
        <v>0</v>
      </c>
      <c r="BN26" s="524">
        <v>0</v>
      </c>
      <c r="BO26" s="514">
        <v>0</v>
      </c>
      <c r="BP26" s="514">
        <v>0</v>
      </c>
      <c r="BQ26" s="514">
        <v>0</v>
      </c>
      <c r="BR26" s="514">
        <v>0</v>
      </c>
      <c r="BS26" s="515">
        <v>0</v>
      </c>
      <c r="BT26" s="212">
        <f t="shared" si="47"/>
        <v>0</v>
      </c>
      <c r="BU26" s="14">
        <f t="shared" si="48"/>
        <v>0</v>
      </c>
      <c r="BW26" s="187"/>
    </row>
    <row r="27" spans="1:75" x14ac:dyDescent="0.35">
      <c r="A27" s="169" t="s">
        <v>470</v>
      </c>
      <c r="B27" s="368" t="str">
        <f>IFERROR(J27/J$13,"-")</f>
        <v>-</v>
      </c>
      <c r="C27" s="413">
        <f t="shared" si="58"/>
        <v>0</v>
      </c>
      <c r="D27" s="374">
        <f t="shared" si="58"/>
        <v>0</v>
      </c>
      <c r="E27" s="374">
        <f t="shared" si="58"/>
        <v>0</v>
      </c>
      <c r="F27" s="374">
        <f t="shared" si="58"/>
        <v>0</v>
      </c>
      <c r="G27" s="374">
        <f t="shared" si="58"/>
        <v>0</v>
      </c>
      <c r="H27" s="375">
        <f t="shared" si="58"/>
        <v>0</v>
      </c>
      <c r="I27" s="212">
        <f t="shared" si="33"/>
        <v>0</v>
      </c>
      <c r="J27" s="14">
        <f t="shared" si="34"/>
        <v>0</v>
      </c>
      <c r="L27" s="413">
        <v>0</v>
      </c>
      <c r="M27" s="374">
        <v>0</v>
      </c>
      <c r="N27" s="374">
        <v>0</v>
      </c>
      <c r="O27" s="374">
        <v>0</v>
      </c>
      <c r="P27" s="374">
        <v>0</v>
      </c>
      <c r="Q27" s="375">
        <v>0</v>
      </c>
      <c r="R27" s="212">
        <f t="shared" si="35"/>
        <v>0</v>
      </c>
      <c r="S27" s="14">
        <f t="shared" si="36"/>
        <v>0</v>
      </c>
      <c r="U27" s="413">
        <v>0</v>
      </c>
      <c r="V27" s="374">
        <v>0</v>
      </c>
      <c r="W27" s="374">
        <v>0</v>
      </c>
      <c r="X27" s="374">
        <v>0</v>
      </c>
      <c r="Y27" s="374">
        <v>0</v>
      </c>
      <c r="Z27" s="375">
        <v>0</v>
      </c>
      <c r="AA27" s="212">
        <f t="shared" si="37"/>
        <v>0</v>
      </c>
      <c r="AB27" s="14">
        <f t="shared" si="38"/>
        <v>0</v>
      </c>
      <c r="AD27" s="413">
        <v>0</v>
      </c>
      <c r="AE27" s="374">
        <v>0</v>
      </c>
      <c r="AF27" s="374">
        <v>0</v>
      </c>
      <c r="AG27" s="374">
        <v>0</v>
      </c>
      <c r="AH27" s="374">
        <v>0</v>
      </c>
      <c r="AI27" s="375">
        <v>0</v>
      </c>
      <c r="AJ27" s="212">
        <f t="shared" si="39"/>
        <v>0</v>
      </c>
      <c r="AK27" s="14">
        <f t="shared" si="40"/>
        <v>0</v>
      </c>
      <c r="AM27" s="413">
        <v>0</v>
      </c>
      <c r="AN27" s="374">
        <v>0</v>
      </c>
      <c r="AO27" s="374">
        <v>0</v>
      </c>
      <c r="AP27" s="374">
        <v>0</v>
      </c>
      <c r="AQ27" s="374">
        <v>0</v>
      </c>
      <c r="AR27" s="375">
        <v>0</v>
      </c>
      <c r="AS27" s="212">
        <f t="shared" si="41"/>
        <v>0</v>
      </c>
      <c r="AT27" s="14">
        <f t="shared" si="42"/>
        <v>0</v>
      </c>
      <c r="AV27" s="524">
        <v>0</v>
      </c>
      <c r="AW27" s="514">
        <v>0</v>
      </c>
      <c r="AX27" s="514">
        <v>0</v>
      </c>
      <c r="AY27" s="514">
        <v>0</v>
      </c>
      <c r="AZ27" s="514">
        <v>0</v>
      </c>
      <c r="BA27" s="515">
        <v>0</v>
      </c>
      <c r="BB27" s="212">
        <f t="shared" si="43"/>
        <v>0</v>
      </c>
      <c r="BC27" s="14">
        <f t="shared" si="44"/>
        <v>0</v>
      </c>
      <c r="BE27" s="524">
        <v>0</v>
      </c>
      <c r="BF27" s="514">
        <v>0</v>
      </c>
      <c r="BG27" s="514">
        <v>0</v>
      </c>
      <c r="BH27" s="514">
        <v>0</v>
      </c>
      <c r="BI27" s="514">
        <v>0</v>
      </c>
      <c r="BJ27" s="515">
        <v>0</v>
      </c>
      <c r="BK27" s="212">
        <f t="shared" si="45"/>
        <v>0</v>
      </c>
      <c r="BL27" s="14">
        <f t="shared" si="46"/>
        <v>0</v>
      </c>
      <c r="BN27" s="524">
        <v>0</v>
      </c>
      <c r="BO27" s="514">
        <v>0</v>
      </c>
      <c r="BP27" s="514">
        <v>0</v>
      </c>
      <c r="BQ27" s="514">
        <v>0</v>
      </c>
      <c r="BR27" s="514">
        <v>0</v>
      </c>
      <c r="BS27" s="515">
        <v>0</v>
      </c>
      <c r="BT27" s="212">
        <f t="shared" si="47"/>
        <v>0</v>
      </c>
      <c r="BU27" s="14">
        <f t="shared" si="48"/>
        <v>0</v>
      </c>
      <c r="BW27" s="187"/>
    </row>
    <row r="28" spans="1:75" x14ac:dyDescent="0.35">
      <c r="A28" s="169" t="s">
        <v>389</v>
      </c>
      <c r="B28" s="368" t="str">
        <f>IFERROR(J28/J$15,"-")</f>
        <v>-</v>
      </c>
      <c r="C28" s="413">
        <f t="shared" si="58"/>
        <v>0</v>
      </c>
      <c r="D28" s="374">
        <f t="shared" si="58"/>
        <v>0</v>
      </c>
      <c r="E28" s="374">
        <f t="shared" si="58"/>
        <v>0</v>
      </c>
      <c r="F28" s="374">
        <f t="shared" si="58"/>
        <v>0</v>
      </c>
      <c r="G28" s="374">
        <f t="shared" si="58"/>
        <v>0</v>
      </c>
      <c r="H28" s="375">
        <f t="shared" si="58"/>
        <v>0</v>
      </c>
      <c r="I28" s="212">
        <f t="shared" si="33"/>
        <v>0</v>
      </c>
      <c r="J28" s="14">
        <f t="shared" si="34"/>
        <v>0</v>
      </c>
      <c r="L28" s="413">
        <v>0</v>
      </c>
      <c r="M28" s="374">
        <v>0</v>
      </c>
      <c r="N28" s="374">
        <v>0</v>
      </c>
      <c r="O28" s="374">
        <v>0</v>
      </c>
      <c r="P28" s="374">
        <v>0</v>
      </c>
      <c r="Q28" s="375">
        <v>0</v>
      </c>
      <c r="R28" s="212">
        <f t="shared" si="35"/>
        <v>0</v>
      </c>
      <c r="S28" s="14">
        <f t="shared" si="36"/>
        <v>0</v>
      </c>
      <c r="U28" s="413">
        <v>0</v>
      </c>
      <c r="V28" s="374">
        <v>0</v>
      </c>
      <c r="W28" s="374">
        <v>0</v>
      </c>
      <c r="X28" s="374">
        <v>0</v>
      </c>
      <c r="Y28" s="374">
        <v>0</v>
      </c>
      <c r="Z28" s="375">
        <v>0</v>
      </c>
      <c r="AA28" s="212">
        <f t="shared" si="37"/>
        <v>0</v>
      </c>
      <c r="AB28" s="14">
        <f t="shared" si="38"/>
        <v>0</v>
      </c>
      <c r="AD28" s="413">
        <v>0</v>
      </c>
      <c r="AE28" s="374">
        <v>0</v>
      </c>
      <c r="AF28" s="374">
        <v>0</v>
      </c>
      <c r="AG28" s="374">
        <v>0</v>
      </c>
      <c r="AH28" s="374">
        <v>0</v>
      </c>
      <c r="AI28" s="375">
        <v>0</v>
      </c>
      <c r="AJ28" s="212">
        <f t="shared" si="39"/>
        <v>0</v>
      </c>
      <c r="AK28" s="14">
        <f t="shared" si="40"/>
        <v>0</v>
      </c>
      <c r="AM28" s="413">
        <v>0</v>
      </c>
      <c r="AN28" s="374">
        <v>0</v>
      </c>
      <c r="AO28" s="374">
        <v>0</v>
      </c>
      <c r="AP28" s="374">
        <v>0</v>
      </c>
      <c r="AQ28" s="374">
        <v>0</v>
      </c>
      <c r="AR28" s="375">
        <v>0</v>
      </c>
      <c r="AS28" s="212">
        <f t="shared" si="41"/>
        <v>0</v>
      </c>
      <c r="AT28" s="14">
        <f t="shared" si="42"/>
        <v>0</v>
      </c>
      <c r="AV28" s="524">
        <v>0</v>
      </c>
      <c r="AW28" s="514">
        <v>0</v>
      </c>
      <c r="AX28" s="514">
        <v>0</v>
      </c>
      <c r="AY28" s="514">
        <v>0</v>
      </c>
      <c r="AZ28" s="514">
        <v>0</v>
      </c>
      <c r="BA28" s="515">
        <v>0</v>
      </c>
      <c r="BB28" s="212">
        <f t="shared" si="43"/>
        <v>0</v>
      </c>
      <c r="BC28" s="14">
        <f t="shared" si="44"/>
        <v>0</v>
      </c>
      <c r="BE28" s="524">
        <v>0</v>
      </c>
      <c r="BF28" s="514">
        <v>0</v>
      </c>
      <c r="BG28" s="514">
        <v>0</v>
      </c>
      <c r="BH28" s="514">
        <v>0</v>
      </c>
      <c r="BI28" s="514">
        <v>0</v>
      </c>
      <c r="BJ28" s="515">
        <v>0</v>
      </c>
      <c r="BK28" s="212">
        <f t="shared" si="45"/>
        <v>0</v>
      </c>
      <c r="BL28" s="14">
        <f t="shared" si="46"/>
        <v>0</v>
      </c>
      <c r="BN28" s="524">
        <v>0</v>
      </c>
      <c r="BO28" s="514">
        <v>0</v>
      </c>
      <c r="BP28" s="514">
        <v>0</v>
      </c>
      <c r="BQ28" s="514">
        <v>0</v>
      </c>
      <c r="BR28" s="514">
        <v>0</v>
      </c>
      <c r="BS28" s="515">
        <v>0</v>
      </c>
      <c r="BT28" s="212">
        <f t="shared" si="47"/>
        <v>0</v>
      </c>
      <c r="BU28" s="14">
        <f t="shared" si="48"/>
        <v>0</v>
      </c>
      <c r="BW28" s="187"/>
    </row>
    <row r="29" spans="1:75" x14ac:dyDescent="0.35">
      <c r="A29" s="105" t="s">
        <v>163</v>
      </c>
      <c r="B29" s="155"/>
      <c r="C29" s="223">
        <f>SUM(C30:C38)</f>
        <v>10144441.914639521</v>
      </c>
      <c r="D29" s="221">
        <f t="shared" ref="D29:H29" si="59">SUM(D30:D38)</f>
        <v>10369585.975168526</v>
      </c>
      <c r="E29" s="221">
        <f t="shared" si="59"/>
        <v>10688867.969813926</v>
      </c>
      <c r="F29" s="221">
        <f t="shared" si="59"/>
        <v>10802571.678210732</v>
      </c>
      <c r="G29" s="221">
        <f t="shared" si="59"/>
        <v>11238307.286283471</v>
      </c>
      <c r="H29" s="222">
        <f t="shared" si="59"/>
        <v>11423454.241318937</v>
      </c>
      <c r="I29" s="221">
        <f t="shared" si="33"/>
        <v>10777871.510905853</v>
      </c>
      <c r="J29" s="224">
        <f t="shared" si="34"/>
        <v>64667229.065435112</v>
      </c>
      <c r="K29" s="158"/>
      <c r="L29" s="223">
        <f>SUM(L30:L38)</f>
        <v>4192216.708268635</v>
      </c>
      <c r="M29" s="221">
        <f t="shared" ref="M29:Q29" si="60">SUM(M30:M38)</f>
        <v>4290546.5577357076</v>
      </c>
      <c r="N29" s="221">
        <f t="shared" si="60"/>
        <v>4429990.3893751595</v>
      </c>
      <c r="O29" s="221">
        <f t="shared" si="60"/>
        <v>4479649.5653900001</v>
      </c>
      <c r="P29" s="221">
        <f t="shared" si="60"/>
        <v>4669953.5718495268</v>
      </c>
      <c r="Q29" s="222">
        <f t="shared" si="60"/>
        <v>4750815.0086342599</v>
      </c>
      <c r="R29" s="221">
        <f t="shared" si="35"/>
        <v>4468861.9668755485</v>
      </c>
      <c r="S29" s="224">
        <f t="shared" si="36"/>
        <v>26813171.801253289</v>
      </c>
      <c r="U29" s="223">
        <f>SUM(U30:U38)</f>
        <v>2815608.3240704164</v>
      </c>
      <c r="V29" s="221">
        <f t="shared" ref="V29:Z29" si="61">SUM(V30:V38)</f>
        <v>2872309.8044178938</v>
      </c>
      <c r="W29" s="221">
        <f t="shared" si="61"/>
        <v>2952719.4839011235</v>
      </c>
      <c r="X29" s="221">
        <f t="shared" si="61"/>
        <v>2981355.231928179</v>
      </c>
      <c r="Y29" s="221">
        <f t="shared" si="61"/>
        <v>3091093.2101798877</v>
      </c>
      <c r="Z29" s="222">
        <f t="shared" si="61"/>
        <v>3137721.6062729154</v>
      </c>
      <c r="AA29" s="221">
        <f t="shared" si="37"/>
        <v>2975134.6101284027</v>
      </c>
      <c r="AB29" s="224">
        <f t="shared" si="38"/>
        <v>17850807.660770416</v>
      </c>
      <c r="AD29" s="223">
        <f>SUM(AD30:AD38)</f>
        <v>838963.97077558155</v>
      </c>
      <c r="AE29" s="221">
        <f t="shared" ref="AE29:AI29" si="62">SUM(AE30:AE38)</f>
        <v>857973.87816902623</v>
      </c>
      <c r="AF29" s="221">
        <f t="shared" si="62"/>
        <v>884932.26710605668</v>
      </c>
      <c r="AG29" s="221">
        <f t="shared" si="62"/>
        <v>894532.77338561788</v>
      </c>
      <c r="AH29" s="221">
        <f t="shared" si="62"/>
        <v>931323.85522906668</v>
      </c>
      <c r="AI29" s="222">
        <f t="shared" si="62"/>
        <v>946956.63035594672</v>
      </c>
      <c r="AJ29" s="221">
        <f t="shared" si="39"/>
        <v>892447.2291702159</v>
      </c>
      <c r="AK29" s="224">
        <f t="shared" si="40"/>
        <v>5354683.3750212956</v>
      </c>
      <c r="AM29" s="223">
        <f>SUM(AM30:AM38)</f>
        <v>934841.98618617468</v>
      </c>
      <c r="AN29" s="221">
        <f t="shared" ref="AN29:AR29" si="63">SUM(AN30:AN38)</f>
        <v>953998.95575675787</v>
      </c>
      <c r="AO29" s="221">
        <f t="shared" si="63"/>
        <v>981165.89696535794</v>
      </c>
      <c r="AP29" s="221">
        <f t="shared" si="63"/>
        <v>990840.67353597656</v>
      </c>
      <c r="AQ29" s="221">
        <f t="shared" si="63"/>
        <v>1027916.3741565295</v>
      </c>
      <c r="AR29" s="222">
        <f t="shared" si="63"/>
        <v>1043670.0856928979</v>
      </c>
      <c r="AS29" s="221">
        <f t="shared" si="41"/>
        <v>988738.9953822823</v>
      </c>
      <c r="AT29" s="224">
        <f t="shared" si="42"/>
        <v>5932433.9722936936</v>
      </c>
      <c r="AV29" s="520">
        <f>SUM(AV30:AV38)</f>
        <v>398762.21526585479</v>
      </c>
      <c r="AW29" s="521">
        <f t="shared" ref="AW29:BA29" si="64">SUM(AW30:AW38)</f>
        <v>408526.68639576546</v>
      </c>
      <c r="AX29" s="521">
        <f t="shared" si="64"/>
        <v>422373.90853296052</v>
      </c>
      <c r="AY29" s="521">
        <f t="shared" si="64"/>
        <v>427305.22484392923</v>
      </c>
      <c r="AZ29" s="521">
        <f t="shared" si="64"/>
        <v>446203.02634623501</v>
      </c>
      <c r="BA29" s="522">
        <f t="shared" si="64"/>
        <v>454232.82776754227</v>
      </c>
      <c r="BB29" s="521">
        <f t="shared" si="43"/>
        <v>426233.98152538115</v>
      </c>
      <c r="BC29" s="523">
        <f t="shared" si="44"/>
        <v>2557403.889152287</v>
      </c>
      <c r="BE29" s="520">
        <f>SUM(BE30:BE38)</f>
        <v>825160.54494341661</v>
      </c>
      <c r="BF29" s="521">
        <f t="shared" ref="BF29:BJ29" si="65">SUM(BF30:BF38)</f>
        <v>843521.52973179554</v>
      </c>
      <c r="BG29" s="521">
        <f t="shared" si="65"/>
        <v>869559.6665279119</v>
      </c>
      <c r="BH29" s="521">
        <f t="shared" si="65"/>
        <v>878832.44971993088</v>
      </c>
      <c r="BI29" s="521">
        <f t="shared" si="65"/>
        <v>914367.63040726667</v>
      </c>
      <c r="BJ29" s="522">
        <f t="shared" si="65"/>
        <v>929466.76478830853</v>
      </c>
      <c r="BK29" s="521">
        <f t="shared" si="45"/>
        <v>876818.09768643836</v>
      </c>
      <c r="BL29" s="523">
        <f t="shared" si="46"/>
        <v>5260908.5861186301</v>
      </c>
      <c r="BN29" s="520">
        <f>SUM(BN30:BN38)</f>
        <v>138888.16512944154</v>
      </c>
      <c r="BO29" s="521">
        <f t="shared" ref="BO29:BS29" si="66">SUM(BO30:BO38)</f>
        <v>142708.56296157755</v>
      </c>
      <c r="BP29" s="521">
        <f t="shared" si="66"/>
        <v>148126.35740535427</v>
      </c>
      <c r="BQ29" s="521">
        <f t="shared" si="66"/>
        <v>150055.75940709631</v>
      </c>
      <c r="BR29" s="521">
        <f t="shared" si="66"/>
        <v>157449.61811495747</v>
      </c>
      <c r="BS29" s="522">
        <f t="shared" si="66"/>
        <v>160591.31780706637</v>
      </c>
      <c r="BT29" s="521">
        <f t="shared" si="47"/>
        <v>149636.63013758225</v>
      </c>
      <c r="BU29" s="523">
        <f t="shared" si="48"/>
        <v>897819.78082549351</v>
      </c>
      <c r="BW29" s="188"/>
    </row>
    <row r="30" spans="1:75" x14ac:dyDescent="0.35">
      <c r="A30" s="32" t="s">
        <v>3</v>
      </c>
      <c r="B30" s="8"/>
      <c r="C30" s="315">
        <f t="shared" ref="C30:H38" si="67">SUM(L30,U30,AD30,AM30,AV30,BE30,BN30,)</f>
        <v>0</v>
      </c>
      <c r="D30" s="316">
        <f t="shared" si="67"/>
        <v>0</v>
      </c>
      <c r="E30" s="374">
        <f t="shared" si="67"/>
        <v>0</v>
      </c>
      <c r="F30" s="374">
        <f t="shared" si="67"/>
        <v>0</v>
      </c>
      <c r="G30" s="374">
        <f t="shared" si="67"/>
        <v>0</v>
      </c>
      <c r="H30" s="375">
        <f t="shared" si="67"/>
        <v>0</v>
      </c>
      <c r="I30" s="212">
        <f t="shared" si="33"/>
        <v>0</v>
      </c>
      <c r="J30" s="14">
        <f t="shared" si="34"/>
        <v>0</v>
      </c>
      <c r="L30" s="315">
        <v>0</v>
      </c>
      <c r="M30" s="316">
        <v>0</v>
      </c>
      <c r="N30" s="374">
        <v>0</v>
      </c>
      <c r="O30" s="374">
        <v>0</v>
      </c>
      <c r="P30" s="374">
        <v>0</v>
      </c>
      <c r="Q30" s="375">
        <v>0</v>
      </c>
      <c r="R30" s="212">
        <f t="shared" si="35"/>
        <v>0</v>
      </c>
      <c r="S30" s="14">
        <f t="shared" si="36"/>
        <v>0</v>
      </c>
      <c r="U30" s="315">
        <v>0</v>
      </c>
      <c r="V30" s="316">
        <v>0</v>
      </c>
      <c r="W30" s="374">
        <v>0</v>
      </c>
      <c r="X30" s="374">
        <v>0</v>
      </c>
      <c r="Y30" s="374">
        <v>0</v>
      </c>
      <c r="Z30" s="375">
        <v>0</v>
      </c>
      <c r="AA30" s="212">
        <f t="shared" si="37"/>
        <v>0</v>
      </c>
      <c r="AB30" s="14">
        <f t="shared" si="38"/>
        <v>0</v>
      </c>
      <c r="AD30" s="315">
        <v>0</v>
      </c>
      <c r="AE30" s="316">
        <v>0</v>
      </c>
      <c r="AF30" s="374">
        <v>0</v>
      </c>
      <c r="AG30" s="374">
        <v>0</v>
      </c>
      <c r="AH30" s="374">
        <v>0</v>
      </c>
      <c r="AI30" s="375">
        <v>0</v>
      </c>
      <c r="AJ30" s="212">
        <f t="shared" si="39"/>
        <v>0</v>
      </c>
      <c r="AK30" s="14">
        <f t="shared" si="40"/>
        <v>0</v>
      </c>
      <c r="AM30" s="315">
        <v>0</v>
      </c>
      <c r="AN30" s="316">
        <v>0</v>
      </c>
      <c r="AO30" s="374">
        <v>0</v>
      </c>
      <c r="AP30" s="374">
        <v>0</v>
      </c>
      <c r="AQ30" s="374">
        <v>0</v>
      </c>
      <c r="AR30" s="375">
        <v>0</v>
      </c>
      <c r="AS30" s="212">
        <f t="shared" si="41"/>
        <v>0</v>
      </c>
      <c r="AT30" s="14">
        <f t="shared" si="42"/>
        <v>0</v>
      </c>
      <c r="AV30" s="512">
        <v>0</v>
      </c>
      <c r="AW30" s="513">
        <v>0</v>
      </c>
      <c r="AX30" s="514">
        <v>0</v>
      </c>
      <c r="AY30" s="514">
        <v>0</v>
      </c>
      <c r="AZ30" s="514">
        <v>0</v>
      </c>
      <c r="BA30" s="515">
        <v>0</v>
      </c>
      <c r="BB30" s="212">
        <f t="shared" si="43"/>
        <v>0</v>
      </c>
      <c r="BC30" s="14">
        <f t="shared" si="44"/>
        <v>0</v>
      </c>
      <c r="BE30" s="512">
        <v>0</v>
      </c>
      <c r="BF30" s="513">
        <v>0</v>
      </c>
      <c r="BG30" s="514">
        <v>0</v>
      </c>
      <c r="BH30" s="514">
        <v>0</v>
      </c>
      <c r="BI30" s="514">
        <v>0</v>
      </c>
      <c r="BJ30" s="515">
        <v>0</v>
      </c>
      <c r="BK30" s="212">
        <f t="shared" si="45"/>
        <v>0</v>
      </c>
      <c r="BL30" s="14">
        <f t="shared" si="46"/>
        <v>0</v>
      </c>
      <c r="BN30" s="512">
        <v>0</v>
      </c>
      <c r="BO30" s="513">
        <v>0</v>
      </c>
      <c r="BP30" s="514">
        <v>0</v>
      </c>
      <c r="BQ30" s="514">
        <v>0</v>
      </c>
      <c r="BR30" s="514">
        <v>0</v>
      </c>
      <c r="BS30" s="515">
        <v>0</v>
      </c>
      <c r="BT30" s="212">
        <f t="shared" si="47"/>
        <v>0</v>
      </c>
      <c r="BU30" s="14">
        <f t="shared" si="48"/>
        <v>0</v>
      </c>
      <c r="BW30" s="187"/>
    </row>
    <row r="31" spans="1:75" x14ac:dyDescent="0.35">
      <c r="A31" s="25" t="s">
        <v>166</v>
      </c>
      <c r="B31" s="12"/>
      <c r="C31" s="315">
        <f t="shared" si="67"/>
        <v>2891799.9289468033</v>
      </c>
      <c r="D31" s="316">
        <f t="shared" si="67"/>
        <v>2891799.9289468033</v>
      </c>
      <c r="E31" s="374">
        <f t="shared" si="67"/>
        <v>2891799.9289468033</v>
      </c>
      <c r="F31" s="374">
        <f t="shared" si="67"/>
        <v>2891799.9289468033</v>
      </c>
      <c r="G31" s="374">
        <f t="shared" si="67"/>
        <v>2891799.9289468033</v>
      </c>
      <c r="H31" s="375">
        <f t="shared" si="67"/>
        <v>2891799.9289468033</v>
      </c>
      <c r="I31" s="212">
        <f t="shared" si="33"/>
        <v>2891799.9289468038</v>
      </c>
      <c r="J31" s="14">
        <f t="shared" si="34"/>
        <v>17350799.573680822</v>
      </c>
      <c r="L31" s="315">
        <v>1195043.7570750907</v>
      </c>
      <c r="M31" s="316">
        <v>1195043.7570750907</v>
      </c>
      <c r="N31" s="374">
        <v>1195043.7570750907</v>
      </c>
      <c r="O31" s="374">
        <v>1195043.7570750907</v>
      </c>
      <c r="P31" s="374">
        <v>1195043.7570750907</v>
      </c>
      <c r="Q31" s="375">
        <v>1195043.7570750907</v>
      </c>
      <c r="R31" s="212">
        <f t="shared" si="35"/>
        <v>1195043.7570750907</v>
      </c>
      <c r="S31" s="14">
        <f t="shared" si="36"/>
        <v>7170262.5424505444</v>
      </c>
      <c r="U31" s="315">
        <v>802624.33557225286</v>
      </c>
      <c r="V31" s="316">
        <v>802624.33557225286</v>
      </c>
      <c r="W31" s="374">
        <v>802624.33557225286</v>
      </c>
      <c r="X31" s="374">
        <v>802624.33557225286</v>
      </c>
      <c r="Y31" s="374">
        <v>802624.33557225286</v>
      </c>
      <c r="Z31" s="375">
        <v>802624.33557225286</v>
      </c>
      <c r="AA31" s="212">
        <f t="shared" si="37"/>
        <v>802624.33557225286</v>
      </c>
      <c r="AB31" s="14">
        <f t="shared" si="38"/>
        <v>4815746.013433517</v>
      </c>
      <c r="AD31" s="315">
        <v>239157.16325179095</v>
      </c>
      <c r="AE31" s="316">
        <v>239157.16325179095</v>
      </c>
      <c r="AF31" s="374">
        <v>239157.16325179095</v>
      </c>
      <c r="AG31" s="374">
        <v>239157.16325179095</v>
      </c>
      <c r="AH31" s="374">
        <v>239157.16325179095</v>
      </c>
      <c r="AI31" s="375">
        <v>239157.16325179095</v>
      </c>
      <c r="AJ31" s="212">
        <f t="shared" si="39"/>
        <v>239157.16325179095</v>
      </c>
      <c r="AK31" s="14">
        <f t="shared" si="40"/>
        <v>1434942.9795107457</v>
      </c>
      <c r="AM31" s="315">
        <v>266488.38960065471</v>
      </c>
      <c r="AN31" s="316">
        <v>266488.38960065471</v>
      </c>
      <c r="AO31" s="374">
        <v>266488.38960065471</v>
      </c>
      <c r="AP31" s="374">
        <v>266488.38960065471</v>
      </c>
      <c r="AQ31" s="374">
        <v>266488.38960065471</v>
      </c>
      <c r="AR31" s="375">
        <v>266488.38960065471</v>
      </c>
      <c r="AS31" s="212">
        <f t="shared" si="41"/>
        <v>266488.38960065466</v>
      </c>
      <c r="AT31" s="14">
        <f t="shared" si="42"/>
        <v>1598930.3376039281</v>
      </c>
      <c r="AV31" s="512">
        <v>113672.15224608491</v>
      </c>
      <c r="AW31" s="513">
        <v>113672.15224608491</v>
      </c>
      <c r="AX31" s="514">
        <v>113672.15224608491</v>
      </c>
      <c r="AY31" s="514">
        <v>113672.15224608491</v>
      </c>
      <c r="AZ31" s="514">
        <v>113672.15224608491</v>
      </c>
      <c r="BA31" s="515">
        <v>113672.15224608491</v>
      </c>
      <c r="BB31" s="212">
        <f t="shared" si="43"/>
        <v>113672.15224608489</v>
      </c>
      <c r="BC31" s="14">
        <f t="shared" si="44"/>
        <v>682032.91347650939</v>
      </c>
      <c r="BE31" s="512">
        <v>235222.32423584934</v>
      </c>
      <c r="BF31" s="513">
        <v>235222.32423584934</v>
      </c>
      <c r="BG31" s="514">
        <v>235222.32423584934</v>
      </c>
      <c r="BH31" s="514">
        <v>235222.32423584934</v>
      </c>
      <c r="BI31" s="514">
        <v>235222.32423584934</v>
      </c>
      <c r="BJ31" s="515">
        <v>235222.32423584934</v>
      </c>
      <c r="BK31" s="212">
        <f t="shared" si="45"/>
        <v>235222.32423584934</v>
      </c>
      <c r="BL31" s="14">
        <f t="shared" si="46"/>
        <v>1411333.9454150961</v>
      </c>
      <c r="BN31" s="512">
        <v>39591.806965079639</v>
      </c>
      <c r="BO31" s="513">
        <v>39591.806965079639</v>
      </c>
      <c r="BP31" s="514">
        <v>39591.806965079639</v>
      </c>
      <c r="BQ31" s="514">
        <v>39591.806965079639</v>
      </c>
      <c r="BR31" s="514">
        <v>39591.806965079639</v>
      </c>
      <c r="BS31" s="515">
        <v>39591.806965079639</v>
      </c>
      <c r="BT31" s="212">
        <f t="shared" si="47"/>
        <v>39591.806965079631</v>
      </c>
      <c r="BU31" s="14">
        <f t="shared" si="48"/>
        <v>237550.8417904778</v>
      </c>
      <c r="BW31" s="187" t="s">
        <v>452</v>
      </c>
    </row>
    <row r="32" spans="1:75" x14ac:dyDescent="0.35">
      <c r="A32" s="25" t="s">
        <v>4</v>
      </c>
      <c r="B32" s="12"/>
      <c r="C32" s="315">
        <f>SUM(L32,U32,AD32,AM32,AV32,BE32,BN32,)</f>
        <v>0</v>
      </c>
      <c r="D32" s="316">
        <f t="shared" si="67"/>
        <v>0</v>
      </c>
      <c r="E32" s="374">
        <f t="shared" si="67"/>
        <v>0</v>
      </c>
      <c r="F32" s="374">
        <f t="shared" si="67"/>
        <v>0</v>
      </c>
      <c r="G32" s="374">
        <f t="shared" si="67"/>
        <v>0</v>
      </c>
      <c r="H32" s="375">
        <f t="shared" si="67"/>
        <v>0</v>
      </c>
      <c r="I32" s="212">
        <f t="shared" si="33"/>
        <v>0</v>
      </c>
      <c r="J32" s="14">
        <f t="shared" si="34"/>
        <v>0</v>
      </c>
      <c r="L32" s="315">
        <v>0</v>
      </c>
      <c r="M32" s="316">
        <v>0</v>
      </c>
      <c r="N32" s="374">
        <v>0</v>
      </c>
      <c r="O32" s="374">
        <v>0</v>
      </c>
      <c r="P32" s="374">
        <v>0</v>
      </c>
      <c r="Q32" s="375">
        <v>0</v>
      </c>
      <c r="R32" s="212">
        <f t="shared" si="35"/>
        <v>0</v>
      </c>
      <c r="S32" s="14">
        <f t="shared" si="36"/>
        <v>0</v>
      </c>
      <c r="U32" s="315">
        <v>0</v>
      </c>
      <c r="V32" s="316">
        <v>0</v>
      </c>
      <c r="W32" s="374">
        <v>0</v>
      </c>
      <c r="X32" s="374">
        <v>0</v>
      </c>
      <c r="Y32" s="374">
        <v>0</v>
      </c>
      <c r="Z32" s="375">
        <v>0</v>
      </c>
      <c r="AA32" s="212">
        <f t="shared" si="37"/>
        <v>0</v>
      </c>
      <c r="AB32" s="14">
        <f t="shared" si="38"/>
        <v>0</v>
      </c>
      <c r="AD32" s="315">
        <v>0</v>
      </c>
      <c r="AE32" s="316">
        <v>0</v>
      </c>
      <c r="AF32" s="374">
        <v>0</v>
      </c>
      <c r="AG32" s="374">
        <v>0</v>
      </c>
      <c r="AH32" s="374">
        <v>0</v>
      </c>
      <c r="AI32" s="375">
        <v>0</v>
      </c>
      <c r="AJ32" s="212">
        <f t="shared" si="39"/>
        <v>0</v>
      </c>
      <c r="AK32" s="14">
        <f t="shared" si="40"/>
        <v>0</v>
      </c>
      <c r="AM32" s="315">
        <v>0</v>
      </c>
      <c r="AN32" s="316">
        <v>0</v>
      </c>
      <c r="AO32" s="374">
        <v>0</v>
      </c>
      <c r="AP32" s="374">
        <v>0</v>
      </c>
      <c r="AQ32" s="374">
        <v>0</v>
      </c>
      <c r="AR32" s="375">
        <v>0</v>
      </c>
      <c r="AS32" s="212">
        <f t="shared" si="41"/>
        <v>0</v>
      </c>
      <c r="AT32" s="14">
        <f t="shared" si="42"/>
        <v>0</v>
      </c>
      <c r="AV32" s="512">
        <v>0</v>
      </c>
      <c r="AW32" s="513">
        <v>0</v>
      </c>
      <c r="AX32" s="514">
        <v>0</v>
      </c>
      <c r="AY32" s="514">
        <v>0</v>
      </c>
      <c r="AZ32" s="514">
        <v>0</v>
      </c>
      <c r="BA32" s="515">
        <v>0</v>
      </c>
      <c r="BB32" s="212">
        <f t="shared" si="43"/>
        <v>0</v>
      </c>
      <c r="BC32" s="14">
        <f t="shared" si="44"/>
        <v>0</v>
      </c>
      <c r="BE32" s="512">
        <v>0</v>
      </c>
      <c r="BF32" s="513">
        <v>0</v>
      </c>
      <c r="BG32" s="514">
        <v>0</v>
      </c>
      <c r="BH32" s="514">
        <v>0</v>
      </c>
      <c r="BI32" s="514">
        <v>0</v>
      </c>
      <c r="BJ32" s="515">
        <v>0</v>
      </c>
      <c r="BK32" s="212">
        <f t="shared" si="45"/>
        <v>0</v>
      </c>
      <c r="BL32" s="14">
        <f t="shared" si="46"/>
        <v>0</v>
      </c>
      <c r="BN32" s="512">
        <v>0</v>
      </c>
      <c r="BO32" s="513">
        <v>0</v>
      </c>
      <c r="BP32" s="514">
        <v>0</v>
      </c>
      <c r="BQ32" s="514">
        <v>0</v>
      </c>
      <c r="BR32" s="514">
        <v>0</v>
      </c>
      <c r="BS32" s="515">
        <v>0</v>
      </c>
      <c r="BT32" s="212">
        <f t="shared" si="47"/>
        <v>0</v>
      </c>
      <c r="BU32" s="14">
        <f t="shared" si="48"/>
        <v>0</v>
      </c>
      <c r="BW32" s="187" t="s">
        <v>452</v>
      </c>
    </row>
    <row r="33" spans="1:109" x14ac:dyDescent="0.35">
      <c r="A33" s="25" t="s">
        <v>5</v>
      </c>
      <c r="B33" s="12"/>
      <c r="C33" s="315">
        <f>SUM(L33,U33,AD33,AM33,AV33,BE33,BN33,)</f>
        <v>769199.30769965472</v>
      </c>
      <c r="D33" s="316">
        <f t="shared" si="67"/>
        <v>769199.30769965472</v>
      </c>
      <c r="E33" s="374">
        <f t="shared" si="67"/>
        <v>769199.30769965472</v>
      </c>
      <c r="F33" s="374">
        <f t="shared" si="67"/>
        <v>769199.30769965472</v>
      </c>
      <c r="G33" s="374">
        <f t="shared" si="67"/>
        <v>769199.30769965472</v>
      </c>
      <c r="H33" s="375">
        <f t="shared" si="67"/>
        <v>769199.30769965472</v>
      </c>
      <c r="I33" s="212">
        <f t="shared" si="33"/>
        <v>769199.30769965472</v>
      </c>
      <c r="J33" s="14">
        <f t="shared" si="34"/>
        <v>4615195.8461979283</v>
      </c>
      <c r="L33" s="315">
        <v>317873.59194926656</v>
      </c>
      <c r="M33" s="316">
        <v>317873.59194926656</v>
      </c>
      <c r="N33" s="374">
        <v>317873.59194926656</v>
      </c>
      <c r="O33" s="374">
        <v>317873.59194926656</v>
      </c>
      <c r="P33" s="374">
        <v>317873.59194926656</v>
      </c>
      <c r="Q33" s="375">
        <v>317873.59194926656</v>
      </c>
      <c r="R33" s="212">
        <f t="shared" si="35"/>
        <v>317873.59194926656</v>
      </c>
      <c r="S33" s="14">
        <f t="shared" si="36"/>
        <v>1907241.5516955995</v>
      </c>
      <c r="U33" s="315">
        <v>213492.66838453867</v>
      </c>
      <c r="V33" s="316">
        <v>213492.66838453867</v>
      </c>
      <c r="W33" s="374">
        <v>213492.66838453867</v>
      </c>
      <c r="X33" s="374">
        <v>213492.66838453867</v>
      </c>
      <c r="Y33" s="374">
        <v>213492.66838453867</v>
      </c>
      <c r="Z33" s="375">
        <v>213492.66838453867</v>
      </c>
      <c r="AA33" s="212">
        <f t="shared" si="37"/>
        <v>213492.6683845387</v>
      </c>
      <c r="AB33" s="14">
        <f t="shared" si="38"/>
        <v>1280956.0103072322</v>
      </c>
      <c r="AD33" s="315">
        <v>63614.194939028574</v>
      </c>
      <c r="AE33" s="316">
        <v>63614.194939028574</v>
      </c>
      <c r="AF33" s="374">
        <v>63614.194939028574</v>
      </c>
      <c r="AG33" s="374">
        <v>63614.194939028574</v>
      </c>
      <c r="AH33" s="374">
        <v>63614.194939028574</v>
      </c>
      <c r="AI33" s="375">
        <v>63614.194939028574</v>
      </c>
      <c r="AJ33" s="212">
        <f t="shared" si="39"/>
        <v>63614.194939028581</v>
      </c>
      <c r="AK33" s="14">
        <f t="shared" si="40"/>
        <v>381685.16963417147</v>
      </c>
      <c r="AM33" s="315">
        <v>70884.117099164054</v>
      </c>
      <c r="AN33" s="316">
        <v>70884.117099164054</v>
      </c>
      <c r="AO33" s="374">
        <v>70884.117099164054</v>
      </c>
      <c r="AP33" s="374">
        <v>70884.117099164054</v>
      </c>
      <c r="AQ33" s="374">
        <v>70884.117099164054</v>
      </c>
      <c r="AR33" s="375">
        <v>70884.117099164054</v>
      </c>
      <c r="AS33" s="212">
        <f t="shared" si="41"/>
        <v>70884.117099164054</v>
      </c>
      <c r="AT33" s="14">
        <f t="shared" si="42"/>
        <v>425304.70259498432</v>
      </c>
      <c r="AV33" s="512">
        <v>30236.027028419892</v>
      </c>
      <c r="AW33" s="513">
        <v>30236.027028419892</v>
      </c>
      <c r="AX33" s="514">
        <v>30236.027028419892</v>
      </c>
      <c r="AY33" s="514">
        <v>30236.027028419892</v>
      </c>
      <c r="AZ33" s="514">
        <v>30236.027028419892</v>
      </c>
      <c r="BA33" s="515">
        <v>30236.027028419892</v>
      </c>
      <c r="BB33" s="212">
        <f t="shared" si="43"/>
        <v>30236.027028419892</v>
      </c>
      <c r="BC33" s="14">
        <f t="shared" si="44"/>
        <v>181416.16217051935</v>
      </c>
      <c r="BE33" s="512">
        <v>62567.554258020529</v>
      </c>
      <c r="BF33" s="513">
        <v>62567.554258020529</v>
      </c>
      <c r="BG33" s="514">
        <v>62567.554258020529</v>
      </c>
      <c r="BH33" s="514">
        <v>62567.554258020529</v>
      </c>
      <c r="BI33" s="514">
        <v>62567.554258020529</v>
      </c>
      <c r="BJ33" s="515">
        <v>62567.554258020529</v>
      </c>
      <c r="BK33" s="212">
        <f t="shared" si="45"/>
        <v>62567.554258020529</v>
      </c>
      <c r="BL33" s="14">
        <f t="shared" si="46"/>
        <v>375405.32554812316</v>
      </c>
      <c r="BN33" s="512">
        <v>10531.15404121647</v>
      </c>
      <c r="BO33" s="513">
        <v>10531.15404121647</v>
      </c>
      <c r="BP33" s="514">
        <v>10531.15404121647</v>
      </c>
      <c r="BQ33" s="514">
        <v>10531.15404121647</v>
      </c>
      <c r="BR33" s="514">
        <v>10531.15404121647</v>
      </c>
      <c r="BS33" s="515">
        <v>10531.15404121647</v>
      </c>
      <c r="BT33" s="212">
        <f t="shared" si="47"/>
        <v>10531.15404121647</v>
      </c>
      <c r="BU33" s="14">
        <f t="shared" si="48"/>
        <v>63186.924247298819</v>
      </c>
      <c r="BW33" s="187" t="s">
        <v>314</v>
      </c>
    </row>
    <row r="34" spans="1:109" x14ac:dyDescent="0.35">
      <c r="A34" s="25" t="s">
        <v>176</v>
      </c>
      <c r="B34" s="12"/>
      <c r="C34" s="315">
        <f t="shared" ref="C34:C38" si="68">SUM(L34,U34,AD34,AM34,AV34,BE34,BN34,)</f>
        <v>3569026.4001513342</v>
      </c>
      <c r="D34" s="316">
        <f t="shared" si="67"/>
        <v>3794170.4606803376</v>
      </c>
      <c r="E34" s="374">
        <f t="shared" si="67"/>
        <v>4113452.4553257376</v>
      </c>
      <c r="F34" s="374">
        <f t="shared" si="67"/>
        <v>4227156.163722543</v>
      </c>
      <c r="G34" s="374">
        <f t="shared" si="67"/>
        <v>4662891.7717952821</v>
      </c>
      <c r="H34" s="375">
        <f t="shared" si="67"/>
        <v>4848038.7268307498</v>
      </c>
      <c r="I34" s="212">
        <f t="shared" si="33"/>
        <v>4202455.996417664</v>
      </c>
      <c r="J34" s="14">
        <f t="shared" si="34"/>
        <v>25214735.978505984</v>
      </c>
      <c r="L34" s="315">
        <v>1474909.3378290546</v>
      </c>
      <c r="M34" s="316">
        <v>1573239.187296127</v>
      </c>
      <c r="N34" s="374">
        <v>1712683.0189355789</v>
      </c>
      <c r="O34" s="374">
        <v>1762342.1949504195</v>
      </c>
      <c r="P34" s="374">
        <v>1952646.2014099462</v>
      </c>
      <c r="Q34" s="375">
        <v>2033507.6381946793</v>
      </c>
      <c r="R34" s="212">
        <f t="shared" si="35"/>
        <v>1751554.5964359678</v>
      </c>
      <c r="S34" s="14">
        <f t="shared" si="36"/>
        <v>10509327.578615807</v>
      </c>
      <c r="U34" s="315">
        <v>990589.77572649019</v>
      </c>
      <c r="V34" s="316">
        <v>1047291.2560739676</v>
      </c>
      <c r="W34" s="374">
        <v>1127700.9355571973</v>
      </c>
      <c r="X34" s="374">
        <v>1156336.6835842528</v>
      </c>
      <c r="Y34" s="374">
        <v>1266074.6618359615</v>
      </c>
      <c r="Z34" s="375">
        <v>1312703.0579289892</v>
      </c>
      <c r="AA34" s="212">
        <f t="shared" si="37"/>
        <v>1150116.0617844763</v>
      </c>
      <c r="AB34" s="14">
        <f t="shared" si="38"/>
        <v>6900696.3707068581</v>
      </c>
      <c r="AD34" s="315">
        <v>295165.03575743956</v>
      </c>
      <c r="AE34" s="316">
        <v>314174.94315088424</v>
      </c>
      <c r="AF34" s="374">
        <v>341133.33208791469</v>
      </c>
      <c r="AG34" s="374">
        <v>350733.8383674759</v>
      </c>
      <c r="AH34" s="374">
        <v>387524.9202109247</v>
      </c>
      <c r="AI34" s="375">
        <v>403157.69533780473</v>
      </c>
      <c r="AJ34" s="212">
        <f t="shared" si="39"/>
        <v>348648.29415207397</v>
      </c>
      <c r="AK34" s="14">
        <f t="shared" si="40"/>
        <v>2091889.7649124437</v>
      </c>
      <c r="AM34" s="315">
        <v>328896.92274283449</v>
      </c>
      <c r="AN34" s="316">
        <v>348053.89231341763</v>
      </c>
      <c r="AO34" s="374">
        <v>375220.8335220177</v>
      </c>
      <c r="AP34" s="374">
        <v>384895.61009263631</v>
      </c>
      <c r="AQ34" s="374">
        <v>421971.3107131893</v>
      </c>
      <c r="AR34" s="375">
        <v>437725.02224955766</v>
      </c>
      <c r="AS34" s="212">
        <f t="shared" si="41"/>
        <v>382793.93193894211</v>
      </c>
      <c r="AT34" s="14">
        <f t="shared" si="42"/>
        <v>2296763.5916336528</v>
      </c>
      <c r="AV34" s="512">
        <v>140292.87028721065</v>
      </c>
      <c r="AW34" s="513">
        <v>150057.34141712135</v>
      </c>
      <c r="AX34" s="514">
        <v>163904.56355431641</v>
      </c>
      <c r="AY34" s="514">
        <v>168835.87986528513</v>
      </c>
      <c r="AZ34" s="514">
        <v>187733.68136759091</v>
      </c>
      <c r="BA34" s="515">
        <v>195763.48278889817</v>
      </c>
      <c r="BB34" s="212">
        <f t="shared" si="43"/>
        <v>167764.63654673711</v>
      </c>
      <c r="BC34" s="14">
        <f t="shared" si="44"/>
        <v>1006587.8192804226</v>
      </c>
      <c r="BE34" s="512">
        <v>290308.70244486636</v>
      </c>
      <c r="BF34" s="513">
        <v>308669.68723324535</v>
      </c>
      <c r="BG34" s="514">
        <v>334707.82402936171</v>
      </c>
      <c r="BH34" s="514">
        <v>343980.60722138069</v>
      </c>
      <c r="BI34" s="514">
        <v>379515.78790871648</v>
      </c>
      <c r="BJ34" s="515">
        <v>394614.92228975834</v>
      </c>
      <c r="BK34" s="212">
        <f t="shared" si="45"/>
        <v>341966.25518788816</v>
      </c>
      <c r="BL34" s="14">
        <f t="shared" si="46"/>
        <v>2051797.531127329</v>
      </c>
      <c r="BN34" s="512">
        <v>48863.755363438278</v>
      </c>
      <c r="BO34" s="513">
        <v>52684.153195574298</v>
      </c>
      <c r="BP34" s="514">
        <v>58101.947639351012</v>
      </c>
      <c r="BQ34" s="514">
        <v>60031.349641093053</v>
      </c>
      <c r="BR34" s="514">
        <v>67425.208348954213</v>
      </c>
      <c r="BS34" s="515">
        <v>70566.908041063114</v>
      </c>
      <c r="BT34" s="212">
        <f t="shared" si="47"/>
        <v>59612.220371578995</v>
      </c>
      <c r="BU34" s="14">
        <f t="shared" si="48"/>
        <v>357673.32222947397</v>
      </c>
      <c r="BW34" s="187" t="s">
        <v>313</v>
      </c>
    </row>
    <row r="35" spans="1:109" x14ac:dyDescent="0.35">
      <c r="A35" s="25" t="s">
        <v>182</v>
      </c>
      <c r="B35" s="12"/>
      <c r="C35" s="315">
        <f t="shared" si="68"/>
        <v>0</v>
      </c>
      <c r="D35" s="316">
        <f t="shared" si="67"/>
        <v>0</v>
      </c>
      <c r="E35" s="374">
        <f t="shared" si="67"/>
        <v>0</v>
      </c>
      <c r="F35" s="374">
        <f t="shared" si="67"/>
        <v>0</v>
      </c>
      <c r="G35" s="374">
        <f t="shared" si="67"/>
        <v>0</v>
      </c>
      <c r="H35" s="375">
        <f t="shared" si="67"/>
        <v>0</v>
      </c>
      <c r="I35" s="212">
        <f t="shared" si="33"/>
        <v>0</v>
      </c>
      <c r="J35" s="14">
        <f t="shared" si="34"/>
        <v>0</v>
      </c>
      <c r="L35" s="315">
        <v>0</v>
      </c>
      <c r="M35" s="316">
        <v>0</v>
      </c>
      <c r="N35" s="374">
        <v>0</v>
      </c>
      <c r="O35" s="374">
        <v>0</v>
      </c>
      <c r="P35" s="374">
        <v>0</v>
      </c>
      <c r="Q35" s="375">
        <v>0</v>
      </c>
      <c r="R35" s="212">
        <f t="shared" si="35"/>
        <v>0</v>
      </c>
      <c r="S35" s="14">
        <f t="shared" si="36"/>
        <v>0</v>
      </c>
      <c r="U35" s="315">
        <v>0</v>
      </c>
      <c r="V35" s="316">
        <v>0</v>
      </c>
      <c r="W35" s="374">
        <v>0</v>
      </c>
      <c r="X35" s="374">
        <v>0</v>
      </c>
      <c r="Y35" s="374">
        <v>0</v>
      </c>
      <c r="Z35" s="375">
        <v>0</v>
      </c>
      <c r="AA35" s="212">
        <f t="shared" si="37"/>
        <v>0</v>
      </c>
      <c r="AB35" s="14">
        <f t="shared" si="38"/>
        <v>0</v>
      </c>
      <c r="AD35" s="315">
        <v>0</v>
      </c>
      <c r="AE35" s="316">
        <v>0</v>
      </c>
      <c r="AF35" s="374">
        <v>0</v>
      </c>
      <c r="AG35" s="374">
        <v>0</v>
      </c>
      <c r="AH35" s="374">
        <v>0</v>
      </c>
      <c r="AI35" s="375">
        <v>0</v>
      </c>
      <c r="AJ35" s="212">
        <f t="shared" si="39"/>
        <v>0</v>
      </c>
      <c r="AK35" s="14">
        <f t="shared" si="40"/>
        <v>0</v>
      </c>
      <c r="AM35" s="315">
        <v>0</v>
      </c>
      <c r="AN35" s="316">
        <v>0</v>
      </c>
      <c r="AO35" s="374">
        <v>0</v>
      </c>
      <c r="AP35" s="374">
        <v>0</v>
      </c>
      <c r="AQ35" s="374">
        <v>0</v>
      </c>
      <c r="AR35" s="375">
        <v>0</v>
      </c>
      <c r="AS35" s="212">
        <f t="shared" si="41"/>
        <v>0</v>
      </c>
      <c r="AT35" s="14">
        <f t="shared" si="42"/>
        <v>0</v>
      </c>
      <c r="AV35" s="512">
        <v>0</v>
      </c>
      <c r="AW35" s="513">
        <v>0</v>
      </c>
      <c r="AX35" s="514">
        <v>0</v>
      </c>
      <c r="AY35" s="514">
        <v>0</v>
      </c>
      <c r="AZ35" s="514">
        <v>0</v>
      </c>
      <c r="BA35" s="515">
        <v>0</v>
      </c>
      <c r="BB35" s="212">
        <f t="shared" si="43"/>
        <v>0</v>
      </c>
      <c r="BC35" s="14">
        <f t="shared" si="44"/>
        <v>0</v>
      </c>
      <c r="BE35" s="512">
        <v>0</v>
      </c>
      <c r="BF35" s="513">
        <v>0</v>
      </c>
      <c r="BG35" s="514">
        <v>0</v>
      </c>
      <c r="BH35" s="514">
        <v>0</v>
      </c>
      <c r="BI35" s="514">
        <v>0</v>
      </c>
      <c r="BJ35" s="515">
        <v>0</v>
      </c>
      <c r="BK35" s="212">
        <f t="shared" si="45"/>
        <v>0</v>
      </c>
      <c r="BL35" s="14">
        <f t="shared" si="46"/>
        <v>0</v>
      </c>
      <c r="BN35" s="512">
        <v>0</v>
      </c>
      <c r="BO35" s="513">
        <v>0</v>
      </c>
      <c r="BP35" s="514">
        <v>0</v>
      </c>
      <c r="BQ35" s="514">
        <v>0</v>
      </c>
      <c r="BR35" s="514">
        <v>0</v>
      </c>
      <c r="BS35" s="515">
        <v>0</v>
      </c>
      <c r="BT35" s="212">
        <f t="shared" si="47"/>
        <v>0</v>
      </c>
      <c r="BU35" s="14">
        <f t="shared" si="48"/>
        <v>0</v>
      </c>
      <c r="BW35" s="187"/>
    </row>
    <row r="36" spans="1:109" x14ac:dyDescent="0.35">
      <c r="A36" s="25" t="s">
        <v>6</v>
      </c>
      <c r="B36" s="12"/>
      <c r="C36" s="315">
        <f t="shared" si="68"/>
        <v>1483121.3635145237</v>
      </c>
      <c r="D36" s="316">
        <f t="shared" si="67"/>
        <v>1483121.3635145237</v>
      </c>
      <c r="E36" s="374">
        <f t="shared" si="67"/>
        <v>1483121.3635145237</v>
      </c>
      <c r="F36" s="374">
        <f t="shared" si="67"/>
        <v>1483121.3635145237</v>
      </c>
      <c r="G36" s="374">
        <f t="shared" si="67"/>
        <v>1483121.3635145237</v>
      </c>
      <c r="H36" s="375">
        <f t="shared" si="67"/>
        <v>1483121.3635145237</v>
      </c>
      <c r="I36" s="212">
        <f t="shared" si="33"/>
        <v>1483121.3635145237</v>
      </c>
      <c r="J36" s="14">
        <f t="shared" si="34"/>
        <v>8898728.1810871419</v>
      </c>
      <c r="L36" s="315">
        <v>612903.71740836021</v>
      </c>
      <c r="M36" s="316">
        <v>612903.71740836021</v>
      </c>
      <c r="N36" s="374">
        <v>612903.71740836021</v>
      </c>
      <c r="O36" s="374">
        <v>612903.71740836021</v>
      </c>
      <c r="P36" s="374">
        <v>612903.71740836021</v>
      </c>
      <c r="Q36" s="375">
        <v>612903.71740836021</v>
      </c>
      <c r="R36" s="212">
        <f t="shared" si="35"/>
        <v>612903.7174083601</v>
      </c>
      <c r="S36" s="14">
        <f t="shared" si="36"/>
        <v>3677422.3044501608</v>
      </c>
      <c r="U36" s="315">
        <v>411643.03486147441</v>
      </c>
      <c r="V36" s="316">
        <v>411643.03486147441</v>
      </c>
      <c r="W36" s="374">
        <v>411643.03486147441</v>
      </c>
      <c r="X36" s="374">
        <v>411643.03486147441</v>
      </c>
      <c r="Y36" s="374">
        <v>411643.03486147441</v>
      </c>
      <c r="Z36" s="375">
        <v>411643.03486147441</v>
      </c>
      <c r="AA36" s="212">
        <f t="shared" si="37"/>
        <v>411643.03486147436</v>
      </c>
      <c r="AB36" s="14">
        <f t="shared" si="38"/>
        <v>2469858.2091688463</v>
      </c>
      <c r="AD36" s="315">
        <v>122656.85966229465</v>
      </c>
      <c r="AE36" s="316">
        <v>122656.85966229465</v>
      </c>
      <c r="AF36" s="374">
        <v>122656.85966229465</v>
      </c>
      <c r="AG36" s="374">
        <v>122656.85966229465</v>
      </c>
      <c r="AH36" s="374">
        <v>122656.85966229465</v>
      </c>
      <c r="AI36" s="375">
        <v>122656.85966229465</v>
      </c>
      <c r="AJ36" s="212">
        <f t="shared" si="39"/>
        <v>122656.85966229464</v>
      </c>
      <c r="AK36" s="14">
        <f t="shared" si="40"/>
        <v>735941.15797376784</v>
      </c>
      <c r="AM36" s="315">
        <v>136674.2629007732</v>
      </c>
      <c r="AN36" s="316">
        <v>136674.2629007732</v>
      </c>
      <c r="AO36" s="374">
        <v>136674.2629007732</v>
      </c>
      <c r="AP36" s="374">
        <v>136674.2629007732</v>
      </c>
      <c r="AQ36" s="374">
        <v>136674.2629007732</v>
      </c>
      <c r="AR36" s="375">
        <v>136674.2629007732</v>
      </c>
      <c r="AS36" s="212">
        <f t="shared" si="41"/>
        <v>136674.2629007732</v>
      </c>
      <c r="AT36" s="14">
        <f t="shared" si="42"/>
        <v>820045.57740463922</v>
      </c>
      <c r="AV36" s="512">
        <v>58299.191360117533</v>
      </c>
      <c r="AW36" s="513">
        <v>58299.191360117533</v>
      </c>
      <c r="AX36" s="514">
        <v>58299.191360117533</v>
      </c>
      <c r="AY36" s="514">
        <v>58299.191360117533</v>
      </c>
      <c r="AZ36" s="514">
        <v>58299.191360117533</v>
      </c>
      <c r="BA36" s="515">
        <v>58299.191360117533</v>
      </c>
      <c r="BB36" s="212">
        <f t="shared" si="43"/>
        <v>58299.191360117526</v>
      </c>
      <c r="BC36" s="14">
        <f t="shared" si="44"/>
        <v>349795.14816070517</v>
      </c>
      <c r="BE36" s="512">
        <v>120638.79342330042</v>
      </c>
      <c r="BF36" s="513">
        <v>120638.79342330042</v>
      </c>
      <c r="BG36" s="514">
        <v>120638.79342330042</v>
      </c>
      <c r="BH36" s="514">
        <v>120638.79342330042</v>
      </c>
      <c r="BI36" s="514">
        <v>120638.79342330042</v>
      </c>
      <c r="BJ36" s="515">
        <v>120638.79342330042</v>
      </c>
      <c r="BK36" s="212">
        <f t="shared" si="45"/>
        <v>120638.79342330042</v>
      </c>
      <c r="BL36" s="14">
        <f t="shared" si="46"/>
        <v>723832.76053980249</v>
      </c>
      <c r="BN36" s="512">
        <v>20305.503898203093</v>
      </c>
      <c r="BO36" s="513">
        <v>20305.503898203093</v>
      </c>
      <c r="BP36" s="514">
        <v>20305.503898203093</v>
      </c>
      <c r="BQ36" s="514">
        <v>20305.503898203093</v>
      </c>
      <c r="BR36" s="514">
        <v>20305.503898203093</v>
      </c>
      <c r="BS36" s="515">
        <v>20305.503898203093</v>
      </c>
      <c r="BT36" s="212">
        <f t="shared" si="47"/>
        <v>20305.503898203093</v>
      </c>
      <c r="BU36" s="14">
        <f t="shared" si="48"/>
        <v>121833.02338921856</v>
      </c>
      <c r="BW36" s="187" t="s">
        <v>314</v>
      </c>
    </row>
    <row r="37" spans="1:109" x14ac:dyDescent="0.35">
      <c r="A37" s="25" t="s">
        <v>408</v>
      </c>
      <c r="B37" s="12"/>
      <c r="C37" s="315">
        <f t="shared" si="68"/>
        <v>0</v>
      </c>
      <c r="D37" s="316">
        <f t="shared" si="67"/>
        <v>0</v>
      </c>
      <c r="E37" s="374">
        <f t="shared" si="67"/>
        <v>0</v>
      </c>
      <c r="F37" s="374">
        <f t="shared" si="67"/>
        <v>0</v>
      </c>
      <c r="G37" s="374">
        <f t="shared" si="67"/>
        <v>0</v>
      </c>
      <c r="H37" s="375">
        <f t="shared" si="67"/>
        <v>0</v>
      </c>
      <c r="I37" s="212"/>
      <c r="J37" s="14"/>
      <c r="L37" s="315">
        <v>0</v>
      </c>
      <c r="M37" s="316">
        <v>0</v>
      </c>
      <c r="N37" s="374">
        <v>0</v>
      </c>
      <c r="O37" s="374">
        <v>0</v>
      </c>
      <c r="P37" s="374">
        <v>0</v>
      </c>
      <c r="Q37" s="375">
        <v>0</v>
      </c>
      <c r="R37" s="212"/>
      <c r="S37" s="14"/>
      <c r="U37" s="315">
        <v>0</v>
      </c>
      <c r="V37" s="316">
        <v>0</v>
      </c>
      <c r="W37" s="374">
        <v>0</v>
      </c>
      <c r="X37" s="374">
        <v>0</v>
      </c>
      <c r="Y37" s="374">
        <v>0</v>
      </c>
      <c r="Z37" s="375">
        <v>0</v>
      </c>
      <c r="AA37" s="212"/>
      <c r="AB37" s="14"/>
      <c r="AD37" s="315">
        <v>0</v>
      </c>
      <c r="AE37" s="316">
        <v>0</v>
      </c>
      <c r="AF37" s="374">
        <v>0</v>
      </c>
      <c r="AG37" s="374">
        <v>0</v>
      </c>
      <c r="AH37" s="374">
        <v>0</v>
      </c>
      <c r="AI37" s="375">
        <v>0</v>
      </c>
      <c r="AJ37" s="212"/>
      <c r="AK37" s="14"/>
      <c r="AM37" s="315">
        <v>0</v>
      </c>
      <c r="AN37" s="316">
        <v>0</v>
      </c>
      <c r="AO37" s="374">
        <v>0</v>
      </c>
      <c r="AP37" s="374">
        <v>0</v>
      </c>
      <c r="AQ37" s="374">
        <v>0</v>
      </c>
      <c r="AR37" s="375">
        <v>0</v>
      </c>
      <c r="AS37" s="212"/>
      <c r="AT37" s="14"/>
      <c r="AV37" s="512">
        <v>0</v>
      </c>
      <c r="AW37" s="513">
        <v>0</v>
      </c>
      <c r="AX37" s="514">
        <v>0</v>
      </c>
      <c r="AY37" s="514">
        <v>0</v>
      </c>
      <c r="AZ37" s="514">
        <v>0</v>
      </c>
      <c r="BA37" s="515">
        <v>0</v>
      </c>
      <c r="BB37" s="212"/>
      <c r="BC37" s="14"/>
      <c r="BE37" s="512">
        <v>0</v>
      </c>
      <c r="BF37" s="513">
        <v>0</v>
      </c>
      <c r="BG37" s="514">
        <v>0</v>
      </c>
      <c r="BH37" s="514">
        <v>0</v>
      </c>
      <c r="BI37" s="514">
        <v>0</v>
      </c>
      <c r="BJ37" s="515">
        <v>0</v>
      </c>
      <c r="BK37" s="212"/>
      <c r="BL37" s="14"/>
      <c r="BN37" s="512">
        <v>0</v>
      </c>
      <c r="BO37" s="513">
        <v>0</v>
      </c>
      <c r="BP37" s="514">
        <v>0</v>
      </c>
      <c r="BQ37" s="514">
        <v>0</v>
      </c>
      <c r="BR37" s="514">
        <v>0</v>
      </c>
      <c r="BS37" s="515">
        <v>0</v>
      </c>
      <c r="BT37" s="212"/>
      <c r="BU37" s="14"/>
      <c r="BW37" s="187"/>
    </row>
    <row r="38" spans="1:109" x14ac:dyDescent="0.35">
      <c r="A38" s="52" t="s">
        <v>409</v>
      </c>
      <c r="B38" s="15"/>
      <c r="C38" s="439">
        <f t="shared" si="68"/>
        <v>1431294.9143272056</v>
      </c>
      <c r="D38" s="321">
        <f t="shared" si="67"/>
        <v>1431294.9143272056</v>
      </c>
      <c r="E38" s="440">
        <f t="shared" si="67"/>
        <v>1431294.9143272056</v>
      </c>
      <c r="F38" s="440">
        <f t="shared" si="67"/>
        <v>1431294.9143272056</v>
      </c>
      <c r="G38" s="440">
        <f t="shared" si="67"/>
        <v>1431294.9143272056</v>
      </c>
      <c r="H38" s="441">
        <f t="shared" si="67"/>
        <v>1431294.9143272056</v>
      </c>
      <c r="I38" s="212">
        <f t="shared" ref="I38:I39" si="69">IFERROR(AVERAGE(C38:H38),0)</f>
        <v>1431294.9143272059</v>
      </c>
      <c r="J38" s="14">
        <f t="shared" ref="J38:J39" si="70">SUM(C38:H38)</f>
        <v>8587769.4859632347</v>
      </c>
      <c r="L38" s="315">
        <v>591486.30400686315</v>
      </c>
      <c r="M38" s="316">
        <v>591486.30400686315</v>
      </c>
      <c r="N38" s="374">
        <v>591486.30400686315</v>
      </c>
      <c r="O38" s="374">
        <v>591486.30400686315</v>
      </c>
      <c r="P38" s="374">
        <v>591486.30400686315</v>
      </c>
      <c r="Q38" s="375">
        <v>591486.30400686315</v>
      </c>
      <c r="R38" s="212">
        <f t="shared" ref="R38:R39" si="71">IFERROR(AVERAGE(L38:Q38),0)</f>
        <v>591486.30400686327</v>
      </c>
      <c r="S38" s="14">
        <f t="shared" ref="S38" si="72">SUM(L38:Q38)</f>
        <v>3548917.8240411794</v>
      </c>
      <c r="U38" s="315">
        <v>397258.50952566054</v>
      </c>
      <c r="V38" s="316">
        <v>397258.50952566054</v>
      </c>
      <c r="W38" s="374">
        <v>397258.50952566054</v>
      </c>
      <c r="X38" s="374">
        <v>397258.50952566054</v>
      </c>
      <c r="Y38" s="374">
        <v>397258.50952566054</v>
      </c>
      <c r="Z38" s="375">
        <v>397258.50952566054</v>
      </c>
      <c r="AA38" s="212">
        <f t="shared" ref="AA38" si="73">IFERROR(AVERAGE(U38:Z38),0)</f>
        <v>397258.50952566048</v>
      </c>
      <c r="AB38" s="14">
        <f t="shared" ref="AB38:AB39" si="74">SUM(U38:Z38)</f>
        <v>2383551.057153963</v>
      </c>
      <c r="AD38" s="315">
        <v>118370.71716502785</v>
      </c>
      <c r="AE38" s="316">
        <v>118370.71716502785</v>
      </c>
      <c r="AF38" s="374">
        <v>118370.71716502785</v>
      </c>
      <c r="AG38" s="374">
        <v>118370.71716502785</v>
      </c>
      <c r="AH38" s="374">
        <v>118370.71716502785</v>
      </c>
      <c r="AI38" s="375">
        <v>118370.71716502785</v>
      </c>
      <c r="AJ38" s="212">
        <f t="shared" ref="AJ38:AJ39" si="75">IFERROR(AVERAGE(AD38:AI38),0)</f>
        <v>118370.71716502785</v>
      </c>
      <c r="AK38" s="14">
        <f t="shared" ref="AK38:AK39" si="76">SUM(AD38:AI38)</f>
        <v>710224.30299016705</v>
      </c>
      <c r="AM38" s="315">
        <v>131898.2938427483</v>
      </c>
      <c r="AN38" s="316">
        <v>131898.2938427483</v>
      </c>
      <c r="AO38" s="374">
        <v>131898.2938427483</v>
      </c>
      <c r="AP38" s="374">
        <v>131898.2938427483</v>
      </c>
      <c r="AQ38" s="374">
        <v>131898.2938427483</v>
      </c>
      <c r="AR38" s="375">
        <v>131898.2938427483</v>
      </c>
      <c r="AS38" s="212">
        <f t="shared" ref="AS38:AS39" si="77">IFERROR(AVERAGE(AM38:AR38),0)</f>
        <v>131898.2938427483</v>
      </c>
      <c r="AT38" s="14">
        <f t="shared" ref="AT38:AT39" si="78">SUM(AM38:AR38)</f>
        <v>791389.76305648976</v>
      </c>
      <c r="AV38" s="516">
        <v>56261.97434402183</v>
      </c>
      <c r="AW38" s="517">
        <v>56261.97434402183</v>
      </c>
      <c r="AX38" s="518">
        <v>56261.97434402183</v>
      </c>
      <c r="AY38" s="518">
        <v>56261.97434402183</v>
      </c>
      <c r="AZ38" s="518">
        <v>56261.97434402183</v>
      </c>
      <c r="BA38" s="519">
        <v>56261.97434402183</v>
      </c>
      <c r="BB38" s="212">
        <f t="shared" ref="BB38:BB39" si="79">IFERROR(AVERAGE(AV38:BA38),0)</f>
        <v>56261.974344021823</v>
      </c>
      <c r="BC38" s="14">
        <f t="shared" ref="BC38:BC39" si="80">SUM(AV38:BA38)</f>
        <v>337571.84606413095</v>
      </c>
      <c r="BE38" s="516">
        <v>116423.17058137998</v>
      </c>
      <c r="BF38" s="517">
        <v>116423.17058137998</v>
      </c>
      <c r="BG38" s="518">
        <v>116423.17058137998</v>
      </c>
      <c r="BH38" s="518">
        <v>116423.17058137998</v>
      </c>
      <c r="BI38" s="518">
        <v>116423.17058137998</v>
      </c>
      <c r="BJ38" s="519">
        <v>116423.17058137998</v>
      </c>
      <c r="BK38" s="212">
        <f t="shared" ref="BK38:BK39" si="81">IFERROR(AVERAGE(BE38:BJ38),0)</f>
        <v>116423.17058137998</v>
      </c>
      <c r="BL38" s="14">
        <f t="shared" ref="BL38:BL39" si="82">SUM(BE38:BJ38)</f>
        <v>698539.0234882799</v>
      </c>
      <c r="BN38" s="516">
        <v>19595.944861504064</v>
      </c>
      <c r="BO38" s="517">
        <v>19595.944861504064</v>
      </c>
      <c r="BP38" s="518">
        <v>19595.944861504064</v>
      </c>
      <c r="BQ38" s="518">
        <v>19595.944861504064</v>
      </c>
      <c r="BR38" s="518">
        <v>19595.944861504064</v>
      </c>
      <c r="BS38" s="519">
        <v>19595.944861504064</v>
      </c>
      <c r="BT38" s="212">
        <f t="shared" ref="BT38:BT39" si="83">IFERROR(AVERAGE(BN38:BS38),0)</f>
        <v>19595.944861504064</v>
      </c>
      <c r="BU38" s="14">
        <f t="shared" ref="BU38:BU39" si="84">SUM(BN38:BS38)</f>
        <v>117575.66916902438</v>
      </c>
      <c r="BW38" s="187"/>
    </row>
    <row r="39" spans="1:109" ht="13.15" customHeight="1" x14ac:dyDescent="0.35">
      <c r="A39" s="96" t="s">
        <v>390</v>
      </c>
      <c r="B39" s="57"/>
      <c r="C39" s="60">
        <f>C22+C29</f>
        <v>31685939.82364222</v>
      </c>
      <c r="D39" s="19">
        <f t="shared" ref="D39:H39" si="85">D22+D29</f>
        <v>31911083.884171225</v>
      </c>
      <c r="E39" s="19">
        <f t="shared" si="85"/>
        <v>32230365.878816627</v>
      </c>
      <c r="F39" s="19">
        <f t="shared" si="85"/>
        <v>32344069.587213431</v>
      </c>
      <c r="G39" s="19">
        <f t="shared" si="85"/>
        <v>32779805.19528617</v>
      </c>
      <c r="H39" s="35">
        <f t="shared" si="85"/>
        <v>32964952.150321636</v>
      </c>
      <c r="I39" s="35">
        <f t="shared" si="69"/>
        <v>32319369.41990855</v>
      </c>
      <c r="J39" s="20">
        <f t="shared" si="70"/>
        <v>193916216.51945129</v>
      </c>
      <c r="K39" s="158"/>
      <c r="L39" s="60">
        <f>L22+L29</f>
        <v>13827948.187348088</v>
      </c>
      <c r="M39" s="19">
        <f t="shared" ref="M39:Q39" si="86">M22+M29</f>
        <v>13926278.036815161</v>
      </c>
      <c r="N39" s="19">
        <f t="shared" si="86"/>
        <v>14065721.868454613</v>
      </c>
      <c r="O39" s="19">
        <f t="shared" si="86"/>
        <v>14115381.044469453</v>
      </c>
      <c r="P39" s="19">
        <f t="shared" si="86"/>
        <v>14305685.05092898</v>
      </c>
      <c r="Q39" s="35">
        <f t="shared" si="86"/>
        <v>14386546.487713713</v>
      </c>
      <c r="R39" s="35">
        <f t="shared" si="71"/>
        <v>14104593.445955001</v>
      </c>
      <c r="S39" s="20">
        <f>SUM(L39:Q39)</f>
        <v>84627560.675730005</v>
      </c>
      <c r="U39" s="60">
        <f>U22+U29</f>
        <v>7998165.6236690897</v>
      </c>
      <c r="V39" s="19">
        <f t="shared" ref="V39:Z39" si="87">V22+V29</f>
        <v>8054867.1040165666</v>
      </c>
      <c r="W39" s="19">
        <f t="shared" si="87"/>
        <v>8135276.7834997969</v>
      </c>
      <c r="X39" s="19">
        <f t="shared" si="87"/>
        <v>8163912.5315268524</v>
      </c>
      <c r="Y39" s="19">
        <f t="shared" si="87"/>
        <v>8273650.5097785611</v>
      </c>
      <c r="Z39" s="35">
        <f t="shared" si="87"/>
        <v>8320278.9058715887</v>
      </c>
      <c r="AA39" s="35">
        <f>IFERROR(AVERAGE(U39:Z39),0)</f>
        <v>8157691.909727077</v>
      </c>
      <c r="AB39" s="20">
        <f t="shared" si="74"/>
        <v>48946151.45836246</v>
      </c>
      <c r="AD39" s="60">
        <f>AD22+AD29</f>
        <v>2673328.7593495524</v>
      </c>
      <c r="AE39" s="19">
        <f t="shared" ref="AE39:AI39" si="88">AE22+AE29</f>
        <v>2692338.6667429972</v>
      </c>
      <c r="AF39" s="19">
        <f t="shared" si="88"/>
        <v>2719297.0556800277</v>
      </c>
      <c r="AG39" s="19">
        <f t="shared" si="88"/>
        <v>2728897.5619595889</v>
      </c>
      <c r="AH39" s="19">
        <f t="shared" si="88"/>
        <v>2765688.6438030377</v>
      </c>
      <c r="AI39" s="35">
        <f t="shared" si="88"/>
        <v>2781321.4189299177</v>
      </c>
      <c r="AJ39" s="35">
        <f t="shared" si="75"/>
        <v>2726812.0177441868</v>
      </c>
      <c r="AK39" s="20">
        <f t="shared" si="76"/>
        <v>16360872.106465122</v>
      </c>
      <c r="AM39" s="60">
        <f>AM22+AM29</f>
        <v>2694009.8462911923</v>
      </c>
      <c r="AN39" s="19">
        <f t="shared" ref="AN39:AR39" si="89">AN22+AN29</f>
        <v>2713166.8158617755</v>
      </c>
      <c r="AO39" s="19">
        <f t="shared" si="89"/>
        <v>2740333.7570703756</v>
      </c>
      <c r="AP39" s="19">
        <f t="shared" si="89"/>
        <v>2750008.5336409942</v>
      </c>
      <c r="AQ39" s="19">
        <f t="shared" si="89"/>
        <v>2787084.2342615472</v>
      </c>
      <c r="AR39" s="35">
        <f t="shared" si="89"/>
        <v>2802837.9457979156</v>
      </c>
      <c r="AS39" s="35">
        <f t="shared" si="77"/>
        <v>2747906.8554873001</v>
      </c>
      <c r="AT39" s="20">
        <f t="shared" si="78"/>
        <v>16487441.1329238</v>
      </c>
      <c r="AV39" s="60">
        <f>AV22+AV29</f>
        <v>1373159.8450831899</v>
      </c>
      <c r="AW39" s="19">
        <f t="shared" ref="AW39:BA39" si="90">AW22+AW29</f>
        <v>1382924.3162131007</v>
      </c>
      <c r="AX39" s="19">
        <f t="shared" si="90"/>
        <v>1396771.5383502957</v>
      </c>
      <c r="AY39" s="19">
        <f t="shared" si="90"/>
        <v>1401702.8546612645</v>
      </c>
      <c r="AZ39" s="19">
        <f t="shared" si="90"/>
        <v>1420600.6561635702</v>
      </c>
      <c r="BA39" s="35">
        <f t="shared" si="90"/>
        <v>1428630.4575848775</v>
      </c>
      <c r="BB39" s="35">
        <f t="shared" si="79"/>
        <v>1400631.6113427163</v>
      </c>
      <c r="BC39" s="20">
        <f t="shared" si="80"/>
        <v>8403789.668056298</v>
      </c>
      <c r="BE39" s="60">
        <f>BE22+BE29</f>
        <v>2582071.9516855581</v>
      </c>
      <c r="BF39" s="19">
        <f t="shared" ref="BF39:BJ39" si="91">BF22+BF29</f>
        <v>2600432.9364739372</v>
      </c>
      <c r="BG39" s="19">
        <f t="shared" si="91"/>
        <v>2626471.0732700536</v>
      </c>
      <c r="BH39" s="19">
        <f t="shared" si="91"/>
        <v>2635743.8564620726</v>
      </c>
      <c r="BI39" s="19">
        <f t="shared" si="91"/>
        <v>2671279.0371494084</v>
      </c>
      <c r="BJ39" s="35">
        <f t="shared" si="91"/>
        <v>2686378.1715304502</v>
      </c>
      <c r="BK39" s="35">
        <f t="shared" si="81"/>
        <v>2633729.5044285799</v>
      </c>
      <c r="BL39" s="20">
        <f t="shared" si="82"/>
        <v>15802377.026571479</v>
      </c>
      <c r="BN39" s="60">
        <f>BN22+BN29</f>
        <v>537255.61021554703</v>
      </c>
      <c r="BO39" s="19">
        <f t="shared" ref="BO39:BR39" si="92">BO22+BO29</f>
        <v>541076.00804768305</v>
      </c>
      <c r="BP39" s="19">
        <f t="shared" si="92"/>
        <v>546493.80249145976</v>
      </c>
      <c r="BQ39" s="19">
        <f t="shared" si="92"/>
        <v>548423.2044932018</v>
      </c>
      <c r="BR39" s="19">
        <f t="shared" si="92"/>
        <v>555817.06320106296</v>
      </c>
      <c r="BS39" s="35">
        <f>BS22+BS29</f>
        <v>558958.76289317186</v>
      </c>
      <c r="BT39" s="35">
        <f t="shared" si="83"/>
        <v>548004.0752236878</v>
      </c>
      <c r="BU39" s="20">
        <f t="shared" si="84"/>
        <v>3288024.4513421268</v>
      </c>
      <c r="BW39" s="188"/>
    </row>
    <row r="42" spans="1:109" x14ac:dyDescent="0.35">
      <c r="C42" s="542"/>
      <c r="D42" s="542"/>
      <c r="E42" s="542"/>
      <c r="F42" s="542"/>
      <c r="G42" s="542"/>
      <c r="H42" s="542"/>
    </row>
    <row r="43" spans="1:109" x14ac:dyDescent="0.35">
      <c r="L43"/>
      <c r="M43"/>
      <c r="N43"/>
      <c r="O43"/>
      <c r="P43"/>
      <c r="Q43"/>
      <c r="U43"/>
      <c r="V43"/>
      <c r="W43"/>
      <c r="X43"/>
      <c r="Y43"/>
      <c r="Z43"/>
      <c r="AD43"/>
      <c r="AE43"/>
      <c r="AF43"/>
      <c r="AG43"/>
      <c r="AH43"/>
      <c r="AI43"/>
      <c r="AM43"/>
      <c r="AN43"/>
      <c r="AO43"/>
      <c r="AP43"/>
      <c r="AQ43"/>
      <c r="AR43"/>
      <c r="AV43"/>
      <c r="AW43"/>
      <c r="AX43"/>
      <c r="AY43"/>
      <c r="AZ43"/>
      <c r="BA43"/>
      <c r="BE43"/>
      <c r="BF43"/>
      <c r="BG43"/>
      <c r="BH43"/>
      <c r="BI43"/>
      <c r="BJ43"/>
      <c r="BN43"/>
      <c r="BO43"/>
      <c r="BP43"/>
      <c r="BQ43"/>
      <c r="BR43"/>
      <c r="BS43"/>
      <c r="BX43"/>
      <c r="BY43"/>
      <c r="BZ43"/>
      <c r="CA43"/>
      <c r="CB43"/>
      <c r="CC43" s="11"/>
      <c r="CD43" s="11"/>
      <c r="CE43"/>
      <c r="CF43"/>
      <c r="CG43"/>
      <c r="CH43"/>
      <c r="CI43"/>
      <c r="CJ43"/>
      <c r="CK43"/>
      <c r="CL43" s="11"/>
      <c r="CM43" s="11"/>
      <c r="CU43" s="11"/>
      <c r="CV43" s="11"/>
      <c r="DD43" s="11"/>
      <c r="DE43" s="11"/>
    </row>
    <row r="44" spans="1:109" x14ac:dyDescent="0.35">
      <c r="L44"/>
      <c r="M44"/>
      <c r="N44"/>
      <c r="O44"/>
      <c r="P44"/>
      <c r="Q44"/>
      <c r="U44"/>
      <c r="V44"/>
      <c r="W44"/>
      <c r="X44"/>
      <c r="Y44"/>
      <c r="Z44"/>
      <c r="AD44"/>
      <c r="AE44"/>
      <c r="AF44"/>
      <c r="AG44"/>
      <c r="AH44"/>
      <c r="AI44"/>
      <c r="AM44"/>
      <c r="AN44"/>
      <c r="AO44"/>
      <c r="AP44"/>
      <c r="AQ44"/>
      <c r="AR44"/>
      <c r="AV44"/>
      <c r="AW44"/>
      <c r="AX44"/>
      <c r="AY44"/>
      <c r="AZ44"/>
      <c r="BA44"/>
      <c r="BE44"/>
      <c r="BF44"/>
      <c r="BG44"/>
      <c r="BH44"/>
      <c r="BI44"/>
      <c r="BJ44"/>
      <c r="BN44"/>
      <c r="BO44"/>
      <c r="BP44"/>
      <c r="BQ44"/>
      <c r="BR44"/>
      <c r="BS44"/>
      <c r="BX44"/>
      <c r="BY44"/>
      <c r="BZ44"/>
      <c r="CA44"/>
      <c r="CB44"/>
      <c r="CC44" s="11"/>
      <c r="CD44" s="11"/>
      <c r="CE44"/>
      <c r="CF44"/>
      <c r="CG44"/>
      <c r="CH44"/>
      <c r="CI44"/>
      <c r="CJ44"/>
      <c r="CK44"/>
      <c r="CL44" s="11"/>
      <c r="CM44" s="11"/>
      <c r="CU44" s="11"/>
      <c r="CV44" s="11"/>
      <c r="DD44" s="11"/>
      <c r="DE44" s="11"/>
    </row>
    <row r="45" spans="1:109" x14ac:dyDescent="0.35">
      <c r="L45"/>
      <c r="M45"/>
      <c r="N45"/>
      <c r="O45"/>
      <c r="P45"/>
      <c r="Q45"/>
      <c r="U45"/>
      <c r="V45"/>
      <c r="W45"/>
      <c r="X45"/>
      <c r="Y45"/>
      <c r="Z45"/>
      <c r="AD45"/>
      <c r="AE45"/>
      <c r="AF45"/>
      <c r="AG45"/>
      <c r="AH45"/>
      <c r="AI45"/>
      <c r="AM45"/>
      <c r="AN45"/>
      <c r="AO45"/>
      <c r="AP45"/>
      <c r="AQ45"/>
      <c r="AR45"/>
      <c r="AV45"/>
      <c r="AW45"/>
      <c r="AX45"/>
      <c r="AY45"/>
      <c r="AZ45"/>
      <c r="BA45"/>
      <c r="BE45"/>
      <c r="BF45"/>
      <c r="BG45"/>
      <c r="BH45"/>
      <c r="BI45"/>
      <c r="BJ45"/>
      <c r="BN45"/>
      <c r="BO45"/>
      <c r="BP45"/>
      <c r="BQ45"/>
      <c r="BR45"/>
      <c r="BS45"/>
      <c r="BX45"/>
      <c r="BY45"/>
      <c r="BZ45"/>
      <c r="CA45"/>
      <c r="CB45"/>
      <c r="CC45" s="11"/>
      <c r="CD45" s="11"/>
      <c r="CE45"/>
      <c r="CF45"/>
      <c r="CG45"/>
      <c r="CH45"/>
      <c r="CI45"/>
      <c r="CJ45"/>
      <c r="CK45"/>
      <c r="CL45" s="11"/>
      <c r="CM45" s="11"/>
      <c r="CU45" s="11"/>
      <c r="CV45" s="11"/>
      <c r="DD45" s="11"/>
      <c r="DE45" s="11"/>
    </row>
    <row r="46" spans="1:109" x14ac:dyDescent="0.35">
      <c r="L46"/>
      <c r="M46"/>
      <c r="N46"/>
      <c r="O46"/>
      <c r="P46"/>
      <c r="Q46"/>
      <c r="U46"/>
      <c r="V46"/>
      <c r="W46"/>
      <c r="X46"/>
      <c r="Y46"/>
      <c r="Z46"/>
      <c r="AD46"/>
      <c r="AE46"/>
      <c r="AF46"/>
      <c r="AG46"/>
      <c r="AH46"/>
      <c r="AI46"/>
      <c r="AM46"/>
      <c r="AN46"/>
      <c r="AO46"/>
      <c r="AP46"/>
      <c r="AQ46"/>
      <c r="AR46"/>
      <c r="AV46"/>
      <c r="AW46"/>
      <c r="AX46"/>
      <c r="AY46"/>
      <c r="AZ46"/>
      <c r="BA46"/>
      <c r="BE46"/>
      <c r="BF46"/>
      <c r="BG46"/>
      <c r="BH46"/>
      <c r="BI46"/>
      <c r="BJ46"/>
      <c r="BN46"/>
      <c r="BO46"/>
      <c r="BP46"/>
      <c r="BQ46"/>
      <c r="BR46"/>
      <c r="BS46"/>
      <c r="BX46"/>
      <c r="BY46"/>
      <c r="BZ46"/>
      <c r="CA46"/>
      <c r="CB46"/>
      <c r="CC46" s="11"/>
      <c r="CD46" s="11"/>
      <c r="CE46"/>
      <c r="CF46"/>
      <c r="CG46"/>
      <c r="CH46"/>
      <c r="CI46"/>
      <c r="CJ46"/>
      <c r="CK46"/>
      <c r="CL46" s="11"/>
      <c r="CM46" s="11"/>
      <c r="CU46" s="11"/>
      <c r="CV46" s="11"/>
      <c r="DD46" s="11"/>
      <c r="DE46" s="11"/>
    </row>
    <row r="47" spans="1:109" x14ac:dyDescent="0.35">
      <c r="L47"/>
      <c r="M47"/>
      <c r="N47"/>
      <c r="O47"/>
      <c r="P47"/>
      <c r="Q47"/>
      <c r="U47"/>
      <c r="V47"/>
      <c r="W47"/>
      <c r="X47"/>
      <c r="Y47"/>
      <c r="Z47"/>
      <c r="AD47"/>
      <c r="AE47"/>
      <c r="AF47"/>
      <c r="AG47"/>
      <c r="AH47"/>
      <c r="AI47"/>
      <c r="AM47"/>
      <c r="AN47"/>
      <c r="AO47"/>
      <c r="AP47"/>
      <c r="AQ47"/>
      <c r="AR47"/>
      <c r="AV47"/>
      <c r="AW47"/>
      <c r="AX47"/>
      <c r="AY47"/>
      <c r="AZ47"/>
      <c r="BA47"/>
      <c r="BE47"/>
      <c r="BF47"/>
      <c r="BG47"/>
      <c r="BH47"/>
      <c r="BI47"/>
      <c r="BJ47"/>
      <c r="BN47"/>
      <c r="BO47"/>
      <c r="BP47"/>
      <c r="BQ47"/>
      <c r="BR47"/>
      <c r="BS47"/>
      <c r="BX47"/>
      <c r="BY47"/>
      <c r="BZ47"/>
      <c r="CA47"/>
      <c r="CB47"/>
      <c r="CC47" s="11"/>
      <c r="CD47" s="11"/>
      <c r="CE47"/>
      <c r="CF47"/>
      <c r="CG47"/>
      <c r="CH47"/>
      <c r="CI47"/>
      <c r="CJ47"/>
      <c r="CK47"/>
      <c r="CL47" s="11"/>
      <c r="CM47" s="11"/>
      <c r="CU47" s="11"/>
      <c r="CV47" s="11"/>
      <c r="DD47" s="11"/>
      <c r="DE47" s="11"/>
    </row>
    <row r="48" spans="1:109" x14ac:dyDescent="0.35">
      <c r="L48"/>
      <c r="M48"/>
      <c r="N48"/>
      <c r="O48"/>
      <c r="P48"/>
      <c r="Q48"/>
      <c r="U48"/>
      <c r="V48"/>
      <c r="W48"/>
      <c r="X48"/>
      <c r="Y48"/>
      <c r="Z48"/>
      <c r="AD48"/>
      <c r="AE48"/>
      <c r="AF48"/>
      <c r="AG48"/>
      <c r="AH48"/>
      <c r="AI48"/>
      <c r="AM48"/>
      <c r="AN48"/>
      <c r="AO48"/>
      <c r="AP48"/>
      <c r="AQ48"/>
      <c r="AR48"/>
      <c r="AV48"/>
      <c r="AW48"/>
      <c r="AX48"/>
      <c r="AY48"/>
      <c r="AZ48"/>
      <c r="BA48"/>
      <c r="BE48"/>
      <c r="BF48"/>
      <c r="BG48"/>
      <c r="BH48"/>
      <c r="BI48"/>
      <c r="BJ48"/>
      <c r="BN48"/>
      <c r="BO48"/>
      <c r="BP48"/>
      <c r="BQ48"/>
      <c r="BR48"/>
      <c r="BS48"/>
      <c r="BX48"/>
      <c r="BY48"/>
      <c r="BZ48"/>
      <c r="CA48"/>
      <c r="CB48"/>
      <c r="CC48" s="11"/>
      <c r="CD48" s="11"/>
      <c r="CE48"/>
      <c r="CF48"/>
      <c r="CG48"/>
      <c r="CH48"/>
      <c r="CI48"/>
      <c r="CJ48"/>
      <c r="CK48"/>
      <c r="CL48" s="11"/>
      <c r="CM48" s="11"/>
      <c r="CU48" s="11"/>
      <c r="CV48" s="11"/>
      <c r="DD48" s="11"/>
      <c r="DE48" s="11"/>
    </row>
    <row r="49" spans="12:109" x14ac:dyDescent="0.35">
      <c r="L49"/>
      <c r="M49"/>
      <c r="N49"/>
      <c r="O49"/>
      <c r="P49"/>
      <c r="Q49"/>
      <c r="U49"/>
      <c r="V49"/>
      <c r="W49"/>
      <c r="X49"/>
      <c r="Y49"/>
      <c r="Z49"/>
      <c r="AD49"/>
      <c r="AE49"/>
      <c r="AF49"/>
      <c r="AG49"/>
      <c r="AH49"/>
      <c r="AI49"/>
      <c r="AM49"/>
      <c r="AN49"/>
      <c r="AO49"/>
      <c r="AP49"/>
      <c r="AQ49"/>
      <c r="AR49"/>
      <c r="AV49"/>
      <c r="AW49"/>
      <c r="AX49"/>
      <c r="AY49"/>
      <c r="AZ49"/>
      <c r="BA49"/>
      <c r="BE49"/>
      <c r="BF49"/>
      <c r="BG49"/>
      <c r="BH49"/>
      <c r="BI49"/>
      <c r="BJ49"/>
      <c r="BN49"/>
      <c r="BO49"/>
      <c r="BP49"/>
      <c r="BQ49"/>
      <c r="BR49"/>
      <c r="BS49"/>
      <c r="BX49"/>
      <c r="BY49"/>
      <c r="BZ49"/>
      <c r="CA49"/>
      <c r="CB49"/>
      <c r="CC49" s="11"/>
      <c r="CD49" s="11"/>
      <c r="CE49"/>
      <c r="CF49"/>
      <c r="CG49"/>
      <c r="CH49"/>
      <c r="CI49"/>
      <c r="CJ49"/>
      <c r="CK49"/>
      <c r="CL49" s="11"/>
      <c r="CM49" s="11"/>
      <c r="CU49" s="11"/>
      <c r="CV49" s="11"/>
      <c r="DD49" s="11"/>
      <c r="DE49" s="11"/>
    </row>
    <row r="50" spans="12:109" x14ac:dyDescent="0.35">
      <c r="L50"/>
      <c r="M50"/>
      <c r="N50"/>
      <c r="O50"/>
      <c r="P50"/>
      <c r="Q50"/>
      <c r="U50"/>
      <c r="V50"/>
      <c r="W50"/>
      <c r="X50"/>
      <c r="Y50"/>
      <c r="Z50"/>
      <c r="AD50"/>
      <c r="AE50"/>
      <c r="AF50"/>
      <c r="AG50"/>
      <c r="AH50"/>
      <c r="AI50"/>
      <c r="AM50"/>
      <c r="AN50"/>
      <c r="AO50"/>
      <c r="AP50"/>
      <c r="AQ50"/>
      <c r="AR50"/>
      <c r="AV50"/>
      <c r="AW50"/>
      <c r="AX50"/>
      <c r="AY50"/>
      <c r="AZ50"/>
      <c r="BA50"/>
      <c r="BE50"/>
      <c r="BF50"/>
      <c r="BG50"/>
      <c r="BH50"/>
      <c r="BI50"/>
      <c r="BJ50"/>
      <c r="BN50"/>
      <c r="BO50"/>
      <c r="BP50"/>
      <c r="BQ50"/>
      <c r="BR50"/>
      <c r="BS50"/>
      <c r="BX50"/>
      <c r="BY50"/>
      <c r="BZ50"/>
      <c r="CA50"/>
      <c r="CB50"/>
      <c r="CC50" s="11"/>
      <c r="CD50" s="11"/>
      <c r="CE50"/>
      <c r="CF50"/>
      <c r="CG50"/>
      <c r="CH50"/>
      <c r="CI50"/>
      <c r="CJ50"/>
      <c r="CK50"/>
      <c r="CL50" s="11"/>
      <c r="CM50" s="11"/>
      <c r="CU50" s="11"/>
      <c r="CV50" s="11"/>
      <c r="DD50" s="11"/>
      <c r="DE50" s="11"/>
    </row>
    <row r="51" spans="12:109" x14ac:dyDescent="0.35">
      <c r="L51"/>
      <c r="M51"/>
      <c r="N51"/>
      <c r="O51"/>
      <c r="P51"/>
      <c r="Q51"/>
      <c r="U51"/>
      <c r="V51"/>
      <c r="W51"/>
      <c r="X51"/>
      <c r="Y51"/>
      <c r="Z51"/>
      <c r="AD51"/>
      <c r="AE51"/>
      <c r="AF51"/>
      <c r="AG51"/>
      <c r="AH51"/>
      <c r="AI51"/>
      <c r="AM51"/>
      <c r="AN51"/>
      <c r="AO51"/>
      <c r="AP51"/>
      <c r="AQ51"/>
      <c r="AR51"/>
      <c r="AV51"/>
      <c r="AW51"/>
      <c r="AX51"/>
      <c r="AY51"/>
      <c r="AZ51"/>
      <c r="BA51"/>
      <c r="BE51"/>
      <c r="BF51"/>
      <c r="BG51"/>
      <c r="BH51"/>
      <c r="BI51"/>
      <c r="BJ51"/>
      <c r="BN51"/>
      <c r="BO51"/>
      <c r="BP51"/>
      <c r="BQ51"/>
      <c r="BR51"/>
      <c r="BS51"/>
      <c r="BX51"/>
      <c r="BY51"/>
      <c r="BZ51"/>
      <c r="CA51"/>
      <c r="CB51"/>
      <c r="CC51" s="11"/>
      <c r="CD51" s="11"/>
      <c r="CE51"/>
      <c r="CF51"/>
      <c r="CG51"/>
      <c r="CH51"/>
      <c r="CI51"/>
      <c r="CJ51"/>
      <c r="CK51"/>
      <c r="CL51" s="11"/>
      <c r="CM51" s="11"/>
      <c r="CU51" s="11"/>
      <c r="CV51" s="11"/>
      <c r="DD51" s="11"/>
      <c r="DE51" s="11"/>
    </row>
    <row r="52" spans="12:109" x14ac:dyDescent="0.35">
      <c r="L52"/>
      <c r="M52"/>
      <c r="N52"/>
      <c r="O52"/>
      <c r="P52"/>
      <c r="Q52"/>
      <c r="U52"/>
      <c r="V52"/>
      <c r="W52"/>
      <c r="X52"/>
      <c r="Y52"/>
      <c r="Z52"/>
      <c r="AD52"/>
      <c r="AE52"/>
      <c r="AF52"/>
      <c r="AG52"/>
      <c r="AH52"/>
      <c r="AI52"/>
      <c r="AM52"/>
      <c r="AN52"/>
      <c r="AO52"/>
      <c r="AP52"/>
      <c r="AQ52"/>
      <c r="AR52"/>
      <c r="AV52"/>
      <c r="AW52"/>
      <c r="AX52"/>
      <c r="AY52"/>
      <c r="AZ52"/>
      <c r="BA52"/>
      <c r="BE52"/>
      <c r="BF52"/>
      <c r="BG52"/>
      <c r="BH52"/>
      <c r="BI52"/>
      <c r="BJ52"/>
      <c r="BN52"/>
      <c r="BO52"/>
      <c r="BP52"/>
      <c r="BQ52"/>
      <c r="BR52"/>
      <c r="BS52"/>
      <c r="BX52"/>
      <c r="BY52"/>
      <c r="BZ52"/>
      <c r="CA52"/>
      <c r="CB52"/>
      <c r="CC52" s="11"/>
      <c r="CD52" s="11"/>
      <c r="CE52"/>
      <c r="CF52"/>
      <c r="CG52"/>
      <c r="CH52"/>
      <c r="CI52"/>
      <c r="CJ52"/>
      <c r="CK52"/>
      <c r="CL52" s="11"/>
      <c r="CM52" s="11"/>
      <c r="CU52" s="11"/>
      <c r="CV52" s="11"/>
      <c r="DD52" s="11"/>
      <c r="DE52" s="11"/>
    </row>
    <row r="53" spans="12:109" x14ac:dyDescent="0.35">
      <c r="AV53"/>
      <c r="AW53"/>
      <c r="AX53"/>
      <c r="AY53"/>
      <c r="AZ53"/>
      <c r="BA53"/>
      <c r="BE53"/>
      <c r="BF53"/>
      <c r="BG53"/>
      <c r="BH53"/>
      <c r="BI53"/>
      <c r="BJ53"/>
      <c r="BN53"/>
      <c r="BO53"/>
      <c r="BP53"/>
      <c r="BQ53"/>
      <c r="BR53"/>
      <c r="BS53"/>
    </row>
    <row r="54" spans="12:109" x14ac:dyDescent="0.35">
      <c r="AV54"/>
      <c r="AW54"/>
      <c r="AX54"/>
      <c r="AY54"/>
      <c r="AZ54"/>
      <c r="BA54"/>
      <c r="BE54"/>
      <c r="BF54"/>
      <c r="BG54"/>
      <c r="BH54"/>
      <c r="BI54"/>
      <c r="BJ54"/>
      <c r="BN54"/>
      <c r="BO54"/>
      <c r="BP54"/>
      <c r="BQ54"/>
      <c r="BR54"/>
      <c r="BS54"/>
    </row>
    <row r="55" spans="12:109" x14ac:dyDescent="0.35">
      <c r="AV55"/>
      <c r="AW55"/>
      <c r="AX55"/>
      <c r="AY55"/>
      <c r="AZ55"/>
      <c r="BA55"/>
      <c r="BE55"/>
      <c r="BF55"/>
      <c r="BG55"/>
      <c r="BH55"/>
      <c r="BI55"/>
      <c r="BJ55"/>
      <c r="BN55"/>
      <c r="BO55"/>
      <c r="BP55"/>
      <c r="BQ55"/>
      <c r="BR55"/>
      <c r="BS55"/>
    </row>
    <row r="56" spans="12:109" x14ac:dyDescent="0.35">
      <c r="AV56"/>
      <c r="AW56"/>
      <c r="AX56"/>
      <c r="AY56"/>
      <c r="AZ56"/>
      <c r="BA56"/>
      <c r="BE56"/>
      <c r="BF56"/>
      <c r="BG56"/>
      <c r="BH56"/>
      <c r="BI56"/>
      <c r="BJ56"/>
      <c r="BN56"/>
      <c r="BO56"/>
      <c r="BP56"/>
      <c r="BQ56"/>
      <c r="BR56"/>
      <c r="BS56"/>
    </row>
    <row r="57" spans="12:109" x14ac:dyDescent="0.35">
      <c r="AV57"/>
      <c r="AW57"/>
      <c r="AX57"/>
      <c r="AY57"/>
      <c r="AZ57"/>
      <c r="BA57"/>
      <c r="BE57"/>
      <c r="BF57"/>
      <c r="BG57"/>
      <c r="BH57"/>
      <c r="BI57"/>
      <c r="BJ57"/>
      <c r="BN57"/>
      <c r="BO57"/>
      <c r="BP57"/>
      <c r="BQ57"/>
      <c r="BR57"/>
      <c r="BS57"/>
    </row>
    <row r="58" spans="12:109" x14ac:dyDescent="0.35">
      <c r="AV58"/>
      <c r="AW58"/>
      <c r="AX58"/>
      <c r="AY58"/>
      <c r="AZ58"/>
      <c r="BA58"/>
      <c r="BE58"/>
      <c r="BF58"/>
      <c r="BG58"/>
      <c r="BH58"/>
      <c r="BI58"/>
      <c r="BJ58"/>
      <c r="BN58"/>
      <c r="BO58"/>
      <c r="BP58"/>
      <c r="BQ58"/>
      <c r="BR58"/>
      <c r="BS58"/>
    </row>
    <row r="59" spans="12:109" x14ac:dyDescent="0.35">
      <c r="L59"/>
      <c r="M59"/>
      <c r="N59"/>
      <c r="O59"/>
      <c r="P59"/>
      <c r="Q59"/>
      <c r="U59"/>
      <c r="V59"/>
      <c r="W59"/>
      <c r="X59"/>
      <c r="Y59"/>
      <c r="Z59"/>
      <c r="AD59"/>
      <c r="AE59"/>
      <c r="AF59"/>
      <c r="AG59"/>
      <c r="AH59"/>
      <c r="AI59"/>
      <c r="AM59"/>
      <c r="AN59"/>
      <c r="AO59"/>
      <c r="AP59"/>
      <c r="AQ59"/>
      <c r="AR59"/>
      <c r="AV59"/>
      <c r="AW59"/>
      <c r="AX59"/>
      <c r="AY59"/>
      <c r="AZ59"/>
      <c r="BA59"/>
      <c r="BE59"/>
      <c r="BF59"/>
      <c r="BG59"/>
      <c r="BH59"/>
      <c r="BI59"/>
      <c r="BJ59"/>
      <c r="BN59"/>
      <c r="BO59"/>
      <c r="BP59"/>
      <c r="BQ59"/>
      <c r="BR59"/>
      <c r="BS59"/>
      <c r="BX59"/>
      <c r="BY59"/>
      <c r="BZ59"/>
      <c r="CA59"/>
      <c r="CB59"/>
      <c r="CC59" s="11"/>
      <c r="CD59" s="11"/>
      <c r="CE59"/>
      <c r="CF59"/>
      <c r="CG59"/>
      <c r="CH59"/>
      <c r="CI59"/>
      <c r="CJ59"/>
      <c r="CK59"/>
      <c r="CL59" s="11"/>
      <c r="CM59" s="11"/>
      <c r="CU59" s="11"/>
      <c r="CV59" s="11"/>
      <c r="DD59" s="11"/>
      <c r="DE59" s="11"/>
    </row>
    <row r="60" spans="12:109" x14ac:dyDescent="0.35">
      <c r="L60"/>
      <c r="M60"/>
      <c r="N60"/>
      <c r="O60"/>
      <c r="P60"/>
      <c r="Q60"/>
      <c r="U60"/>
      <c r="V60"/>
      <c r="W60"/>
      <c r="X60"/>
      <c r="Y60"/>
      <c r="Z60"/>
      <c r="AD60"/>
      <c r="AE60"/>
      <c r="AF60"/>
      <c r="AG60"/>
      <c r="AH60"/>
      <c r="AI60"/>
      <c r="AM60"/>
      <c r="AN60"/>
      <c r="AO60"/>
      <c r="AP60"/>
      <c r="AQ60"/>
      <c r="AR60"/>
      <c r="AV60"/>
      <c r="AW60"/>
      <c r="AX60"/>
      <c r="AY60"/>
      <c r="AZ60"/>
      <c r="BA60"/>
      <c r="BE60"/>
      <c r="BF60"/>
      <c r="BG60"/>
      <c r="BH60"/>
      <c r="BI60"/>
      <c r="BJ60"/>
      <c r="BN60"/>
      <c r="BO60"/>
      <c r="BP60"/>
      <c r="BQ60"/>
      <c r="BR60"/>
      <c r="BS60"/>
      <c r="BX60"/>
      <c r="BY60"/>
      <c r="BZ60"/>
      <c r="CA60"/>
      <c r="CB60"/>
      <c r="CC60" s="11"/>
      <c r="CD60" s="11"/>
      <c r="CE60"/>
      <c r="CF60"/>
      <c r="CG60"/>
      <c r="CH60"/>
      <c r="CI60"/>
      <c r="CJ60"/>
      <c r="CK60"/>
      <c r="CL60" s="11"/>
      <c r="CM60" s="11"/>
      <c r="CU60" s="11"/>
      <c r="CV60" s="11"/>
      <c r="DD60" s="11"/>
      <c r="DE60" s="11"/>
    </row>
    <row r="61" spans="12:109" x14ac:dyDescent="0.35">
      <c r="L61"/>
      <c r="M61"/>
      <c r="N61"/>
      <c r="O61"/>
      <c r="P61"/>
      <c r="Q61"/>
      <c r="U61"/>
      <c r="V61"/>
      <c r="W61"/>
      <c r="X61"/>
      <c r="Y61"/>
      <c r="Z61"/>
      <c r="AD61"/>
      <c r="AE61"/>
      <c r="AF61"/>
      <c r="AG61"/>
      <c r="AH61"/>
      <c r="AI61"/>
      <c r="AM61"/>
      <c r="AN61"/>
      <c r="AO61"/>
      <c r="AP61"/>
      <c r="AQ61"/>
      <c r="AR61"/>
      <c r="AV61"/>
      <c r="AW61"/>
      <c r="AX61"/>
      <c r="AY61"/>
      <c r="AZ61"/>
      <c r="BA61"/>
      <c r="BE61"/>
      <c r="BF61"/>
      <c r="BG61"/>
      <c r="BH61"/>
      <c r="BI61"/>
      <c r="BJ61"/>
      <c r="BN61"/>
      <c r="BO61"/>
      <c r="BP61"/>
      <c r="BQ61"/>
      <c r="BR61"/>
      <c r="BS61"/>
      <c r="BX61"/>
      <c r="BY61"/>
      <c r="BZ61"/>
      <c r="CA61"/>
      <c r="CB61"/>
      <c r="CC61" s="11"/>
      <c r="CD61" s="11"/>
      <c r="CE61"/>
      <c r="CF61"/>
      <c r="CG61"/>
      <c r="CH61"/>
      <c r="CI61"/>
      <c r="CJ61"/>
      <c r="CK61"/>
      <c r="CL61" s="11"/>
      <c r="CM61" s="11"/>
      <c r="CU61" s="11"/>
      <c r="CV61" s="11"/>
      <c r="DD61" s="11"/>
      <c r="DE61" s="11"/>
    </row>
    <row r="62" spans="12:109" x14ac:dyDescent="0.35">
      <c r="L62"/>
      <c r="M62"/>
      <c r="N62"/>
      <c r="O62"/>
      <c r="P62"/>
      <c r="Q62"/>
      <c r="U62"/>
      <c r="V62"/>
      <c r="W62"/>
      <c r="X62"/>
      <c r="Y62"/>
      <c r="Z62"/>
      <c r="AD62"/>
      <c r="AE62"/>
      <c r="AF62"/>
      <c r="AG62"/>
      <c r="AH62"/>
      <c r="AI62"/>
      <c r="AM62"/>
      <c r="AN62"/>
      <c r="AO62"/>
      <c r="AP62"/>
      <c r="AQ62"/>
      <c r="AR62"/>
      <c r="AV62"/>
      <c r="AW62"/>
      <c r="AX62"/>
      <c r="AY62"/>
      <c r="AZ62"/>
      <c r="BA62"/>
      <c r="BE62"/>
      <c r="BF62"/>
      <c r="BG62"/>
      <c r="BH62"/>
      <c r="BI62"/>
      <c r="BJ62"/>
      <c r="BN62"/>
      <c r="BO62"/>
      <c r="BP62"/>
      <c r="BQ62"/>
      <c r="BR62"/>
      <c r="BS62"/>
      <c r="BX62"/>
      <c r="BY62"/>
      <c r="BZ62"/>
      <c r="CA62"/>
      <c r="CB62"/>
      <c r="CC62" s="11"/>
      <c r="CD62" s="11"/>
      <c r="CE62"/>
      <c r="CF62"/>
      <c r="CG62"/>
      <c r="CH62"/>
      <c r="CI62"/>
      <c r="CJ62"/>
      <c r="CK62"/>
      <c r="CL62" s="11"/>
      <c r="CM62" s="11"/>
      <c r="CU62" s="11"/>
      <c r="CV62" s="11"/>
      <c r="DD62" s="11"/>
      <c r="DE62" s="11"/>
    </row>
    <row r="63" spans="12:109" x14ac:dyDescent="0.35">
      <c r="L63"/>
      <c r="M63"/>
      <c r="N63"/>
      <c r="O63"/>
      <c r="P63"/>
      <c r="Q63"/>
      <c r="U63"/>
      <c r="V63"/>
      <c r="W63"/>
      <c r="X63"/>
      <c r="Y63"/>
      <c r="Z63"/>
      <c r="AD63"/>
      <c r="AE63"/>
      <c r="AF63"/>
      <c r="AG63"/>
      <c r="AH63"/>
      <c r="AI63"/>
      <c r="AM63"/>
      <c r="AN63"/>
      <c r="AO63"/>
      <c r="AP63"/>
      <c r="AQ63"/>
      <c r="AR63"/>
      <c r="AV63"/>
      <c r="AW63"/>
      <c r="AX63"/>
      <c r="AY63"/>
      <c r="AZ63"/>
      <c r="BA63"/>
      <c r="BE63"/>
      <c r="BF63"/>
      <c r="BG63"/>
      <c r="BH63"/>
      <c r="BI63"/>
      <c r="BJ63"/>
      <c r="BN63"/>
      <c r="BO63"/>
      <c r="BP63"/>
      <c r="BQ63"/>
      <c r="BR63"/>
      <c r="BS63"/>
      <c r="BX63"/>
      <c r="BY63"/>
      <c r="BZ63"/>
      <c r="CA63"/>
      <c r="CB63"/>
      <c r="CC63" s="11"/>
      <c r="CD63" s="11"/>
      <c r="CE63"/>
      <c r="CF63"/>
      <c r="CG63"/>
      <c r="CH63"/>
      <c r="CI63"/>
      <c r="CJ63"/>
      <c r="CK63"/>
      <c r="CL63" s="11"/>
      <c r="CM63" s="11"/>
      <c r="CU63" s="11"/>
      <c r="CV63" s="11"/>
      <c r="DD63" s="11"/>
      <c r="DE63" s="11"/>
    </row>
    <row r="64" spans="12:109" x14ac:dyDescent="0.35">
      <c r="L64"/>
      <c r="M64"/>
      <c r="N64"/>
      <c r="O64"/>
      <c r="P64"/>
      <c r="Q64"/>
      <c r="U64"/>
      <c r="V64"/>
      <c r="W64"/>
      <c r="X64"/>
      <c r="Y64"/>
      <c r="Z64"/>
      <c r="AD64"/>
      <c r="AE64"/>
      <c r="AF64"/>
      <c r="AG64"/>
      <c r="AH64"/>
      <c r="AI64"/>
      <c r="AM64"/>
      <c r="AN64"/>
      <c r="AO64"/>
      <c r="AP64"/>
      <c r="AQ64"/>
      <c r="AR64"/>
      <c r="AV64"/>
      <c r="AW64"/>
      <c r="AX64"/>
      <c r="AY64"/>
      <c r="AZ64"/>
      <c r="BA64"/>
      <c r="BE64"/>
      <c r="BF64"/>
      <c r="BG64"/>
      <c r="BH64"/>
      <c r="BI64"/>
      <c r="BJ64"/>
      <c r="BN64"/>
      <c r="BO64"/>
      <c r="BP64"/>
      <c r="BQ64"/>
      <c r="BR64"/>
      <c r="BS64"/>
      <c r="BX64"/>
      <c r="BY64"/>
      <c r="BZ64"/>
      <c r="CA64"/>
      <c r="CB64"/>
      <c r="CC64" s="11"/>
      <c r="CD64" s="11"/>
      <c r="CE64"/>
      <c r="CF64"/>
      <c r="CG64"/>
      <c r="CH64"/>
      <c r="CI64"/>
      <c r="CJ64"/>
      <c r="CK64"/>
      <c r="CL64" s="11"/>
      <c r="CM64" s="11"/>
      <c r="CU64" s="11"/>
      <c r="CV64" s="11"/>
      <c r="DD64" s="11"/>
      <c r="DE64" s="11"/>
    </row>
    <row r="65" spans="12:109" x14ac:dyDescent="0.35">
      <c r="L65"/>
      <c r="M65"/>
      <c r="N65"/>
      <c r="O65"/>
      <c r="P65"/>
      <c r="Q65"/>
      <c r="U65"/>
      <c r="V65"/>
      <c r="W65"/>
      <c r="X65"/>
      <c r="Y65"/>
      <c r="Z65"/>
      <c r="AD65"/>
      <c r="AE65"/>
      <c r="AF65"/>
      <c r="AG65"/>
      <c r="AH65"/>
      <c r="AI65"/>
      <c r="AM65"/>
      <c r="AN65"/>
      <c r="AO65"/>
      <c r="AP65"/>
      <c r="AQ65"/>
      <c r="AR65"/>
      <c r="AV65"/>
      <c r="AW65"/>
      <c r="AX65"/>
      <c r="AY65"/>
      <c r="AZ65"/>
      <c r="BA65"/>
      <c r="BE65"/>
      <c r="BF65"/>
      <c r="BG65"/>
      <c r="BH65"/>
      <c r="BI65"/>
      <c r="BJ65"/>
      <c r="BN65"/>
      <c r="BO65"/>
      <c r="BP65"/>
      <c r="BQ65"/>
      <c r="BR65"/>
      <c r="BS65"/>
      <c r="BX65"/>
      <c r="BY65"/>
      <c r="BZ65"/>
      <c r="CA65"/>
      <c r="CB65"/>
      <c r="CC65" s="11"/>
      <c r="CD65" s="11"/>
      <c r="CE65"/>
      <c r="CF65"/>
      <c r="CG65"/>
      <c r="CH65"/>
      <c r="CI65"/>
      <c r="CJ65"/>
      <c r="CK65"/>
      <c r="CL65" s="11"/>
      <c r="CM65" s="11"/>
      <c r="CU65" s="11"/>
      <c r="CV65" s="11"/>
      <c r="DD65" s="11"/>
      <c r="DE65" s="11"/>
    </row>
    <row r="66" spans="12:109" x14ac:dyDescent="0.35">
      <c r="L66"/>
      <c r="M66"/>
      <c r="N66"/>
      <c r="O66"/>
      <c r="P66"/>
      <c r="Q66"/>
      <c r="U66"/>
      <c r="V66"/>
      <c r="W66"/>
      <c r="X66"/>
      <c r="Y66"/>
      <c r="Z66"/>
      <c r="AD66"/>
      <c r="AE66"/>
      <c r="AF66"/>
      <c r="AG66"/>
      <c r="AH66"/>
      <c r="AI66"/>
      <c r="AM66"/>
      <c r="AN66"/>
      <c r="AO66"/>
      <c r="AP66"/>
      <c r="AQ66"/>
      <c r="AR66"/>
      <c r="AV66"/>
      <c r="AW66"/>
      <c r="AX66"/>
      <c r="AY66"/>
      <c r="AZ66"/>
      <c r="BA66"/>
      <c r="BE66"/>
      <c r="BF66"/>
      <c r="BG66"/>
      <c r="BH66"/>
      <c r="BI66"/>
      <c r="BJ66"/>
      <c r="BN66"/>
      <c r="BO66"/>
      <c r="BP66"/>
      <c r="BQ66"/>
      <c r="BR66"/>
      <c r="BS66"/>
      <c r="BX66"/>
      <c r="BY66"/>
      <c r="BZ66"/>
      <c r="CA66"/>
      <c r="CB66"/>
      <c r="CC66" s="11"/>
      <c r="CD66" s="11"/>
      <c r="CE66"/>
      <c r="CF66"/>
      <c r="CG66"/>
      <c r="CH66"/>
      <c r="CI66"/>
      <c r="CJ66"/>
      <c r="CK66"/>
      <c r="CL66" s="11"/>
      <c r="CM66" s="11"/>
      <c r="CU66" s="11"/>
      <c r="CV66" s="11"/>
      <c r="DD66" s="11"/>
      <c r="DE66" s="11"/>
    </row>
    <row r="67" spans="12:109" x14ac:dyDescent="0.35">
      <c r="L67"/>
      <c r="M67"/>
      <c r="N67"/>
      <c r="O67"/>
      <c r="P67"/>
      <c r="Q67"/>
      <c r="U67"/>
      <c r="V67"/>
      <c r="W67"/>
      <c r="X67"/>
      <c r="Y67"/>
      <c r="Z67"/>
      <c r="AD67"/>
      <c r="AE67"/>
      <c r="AF67"/>
      <c r="AG67"/>
      <c r="AH67"/>
      <c r="AI67"/>
      <c r="AM67"/>
      <c r="AN67"/>
      <c r="AO67"/>
      <c r="AP67"/>
      <c r="AQ67"/>
      <c r="AR67"/>
      <c r="AV67"/>
      <c r="AW67"/>
      <c r="AX67"/>
      <c r="AY67"/>
      <c r="AZ67"/>
      <c r="BA67"/>
      <c r="BE67"/>
      <c r="BF67"/>
      <c r="BG67"/>
      <c r="BH67"/>
      <c r="BI67"/>
      <c r="BJ67"/>
      <c r="BN67"/>
      <c r="BO67"/>
      <c r="BP67"/>
      <c r="BQ67"/>
      <c r="BR67"/>
      <c r="BS67"/>
      <c r="BX67"/>
      <c r="BY67"/>
      <c r="BZ67"/>
      <c r="CA67"/>
      <c r="CB67"/>
      <c r="CC67" s="11"/>
      <c r="CD67" s="11"/>
      <c r="CE67"/>
      <c r="CF67"/>
      <c r="CG67"/>
      <c r="CH67"/>
      <c r="CI67"/>
      <c r="CJ67"/>
      <c r="CK67"/>
      <c r="CL67" s="11"/>
      <c r="CM67" s="11"/>
      <c r="CU67" s="11"/>
      <c r="CV67" s="11"/>
      <c r="DD67" s="11"/>
      <c r="DE67" s="11"/>
    </row>
    <row r="68" spans="12:109" x14ac:dyDescent="0.35">
      <c r="L68"/>
      <c r="M68"/>
      <c r="N68"/>
      <c r="O68"/>
      <c r="P68"/>
      <c r="Q68"/>
      <c r="U68"/>
      <c r="V68"/>
      <c r="W68"/>
      <c r="X68"/>
      <c r="Y68"/>
      <c r="Z68"/>
      <c r="AD68"/>
      <c r="AE68"/>
      <c r="AF68"/>
      <c r="AG68"/>
      <c r="AH68"/>
      <c r="AI68"/>
      <c r="AM68"/>
      <c r="AN68"/>
      <c r="AO68"/>
      <c r="AP68"/>
      <c r="AQ68"/>
      <c r="AR68"/>
      <c r="AV68"/>
      <c r="AW68"/>
      <c r="AX68"/>
      <c r="AY68"/>
      <c r="AZ68"/>
      <c r="BA68"/>
      <c r="BE68"/>
      <c r="BF68"/>
      <c r="BG68"/>
      <c r="BH68"/>
      <c r="BI68"/>
      <c r="BJ68"/>
      <c r="BN68"/>
      <c r="BO68"/>
      <c r="BP68"/>
      <c r="BQ68"/>
      <c r="BR68"/>
      <c r="BS68"/>
      <c r="BX68"/>
      <c r="BY68"/>
      <c r="BZ68"/>
      <c r="CA68"/>
      <c r="CB68"/>
      <c r="CC68" s="11"/>
      <c r="CD68" s="11"/>
      <c r="CE68"/>
      <c r="CF68"/>
      <c r="CG68"/>
      <c r="CH68"/>
      <c r="CI68"/>
      <c r="CJ68"/>
      <c r="CK68"/>
      <c r="CL68" s="11"/>
      <c r="CM68" s="11"/>
      <c r="CU68" s="11"/>
      <c r="CV68" s="11"/>
      <c r="DD68" s="11"/>
      <c r="DE68" s="11"/>
    </row>
    <row r="69" spans="12:109" x14ac:dyDescent="0.35">
      <c r="L69"/>
      <c r="M69"/>
      <c r="N69"/>
      <c r="O69"/>
      <c r="P69"/>
      <c r="Q69"/>
      <c r="U69"/>
      <c r="V69"/>
      <c r="W69"/>
      <c r="X69"/>
      <c r="Y69"/>
      <c r="Z69"/>
      <c r="AD69"/>
      <c r="AE69"/>
      <c r="AF69"/>
      <c r="AG69"/>
      <c r="AH69"/>
      <c r="AI69"/>
      <c r="AM69"/>
      <c r="AN69"/>
      <c r="AO69"/>
      <c r="AP69"/>
      <c r="AQ69"/>
      <c r="AR69"/>
      <c r="AV69"/>
      <c r="AW69"/>
      <c r="AX69"/>
      <c r="AY69"/>
      <c r="AZ69"/>
      <c r="BA69"/>
      <c r="BE69"/>
      <c r="BF69"/>
      <c r="BG69"/>
      <c r="BH69"/>
      <c r="BI69"/>
      <c r="BJ69"/>
      <c r="BN69"/>
      <c r="BO69"/>
      <c r="BP69"/>
      <c r="BQ69"/>
      <c r="BR69"/>
      <c r="BS69"/>
      <c r="BX69"/>
      <c r="BY69"/>
      <c r="BZ69"/>
      <c r="CA69"/>
      <c r="CB69"/>
      <c r="CC69" s="11"/>
      <c r="CD69" s="11"/>
      <c r="CE69"/>
      <c r="CF69"/>
      <c r="CG69"/>
      <c r="CH69"/>
      <c r="CI69"/>
      <c r="CJ69"/>
      <c r="CK69"/>
      <c r="CL69" s="11"/>
      <c r="CM69" s="11"/>
      <c r="CU69" s="11"/>
      <c r="CV69" s="11"/>
      <c r="DD69" s="11"/>
      <c r="DE69" s="11"/>
    </row>
    <row r="70" spans="12:109" x14ac:dyDescent="0.35">
      <c r="L70"/>
      <c r="M70"/>
      <c r="N70"/>
      <c r="O70"/>
      <c r="P70"/>
      <c r="Q70"/>
      <c r="U70"/>
      <c r="V70"/>
      <c r="W70"/>
      <c r="X70"/>
      <c r="Y70"/>
      <c r="Z70"/>
      <c r="AD70"/>
      <c r="AE70"/>
      <c r="AF70"/>
      <c r="AG70"/>
      <c r="AH70"/>
      <c r="AI70"/>
      <c r="AM70"/>
      <c r="AN70"/>
      <c r="AO70"/>
      <c r="AP70"/>
      <c r="AQ70"/>
      <c r="AR70"/>
      <c r="AV70"/>
      <c r="AW70"/>
      <c r="AX70"/>
      <c r="AY70"/>
      <c r="AZ70"/>
      <c r="BA70"/>
      <c r="BE70"/>
      <c r="BF70"/>
      <c r="BG70"/>
      <c r="BH70"/>
      <c r="BI70"/>
      <c r="BJ70"/>
      <c r="BN70"/>
      <c r="BO70"/>
      <c r="BP70"/>
      <c r="BQ70"/>
      <c r="BR70"/>
      <c r="BS70"/>
      <c r="BX70"/>
      <c r="BY70"/>
      <c r="BZ70"/>
      <c r="CA70"/>
      <c r="CB70"/>
      <c r="CC70" s="11"/>
      <c r="CD70" s="11"/>
      <c r="CE70"/>
      <c r="CF70"/>
      <c r="CG70"/>
      <c r="CH70"/>
      <c r="CI70"/>
      <c r="CJ70"/>
      <c r="CK70"/>
      <c r="CL70" s="11"/>
      <c r="CM70" s="11"/>
      <c r="CU70" s="11"/>
      <c r="CV70" s="11"/>
      <c r="DD70" s="11"/>
      <c r="DE70" s="11"/>
    </row>
    <row r="71" spans="12:109" x14ac:dyDescent="0.35">
      <c r="L71"/>
      <c r="M71"/>
      <c r="N71"/>
      <c r="O71"/>
      <c r="P71"/>
      <c r="Q71"/>
      <c r="U71"/>
      <c r="V71"/>
      <c r="W71"/>
      <c r="X71"/>
      <c r="Y71"/>
      <c r="Z71"/>
      <c r="AD71"/>
      <c r="AE71"/>
      <c r="AF71"/>
      <c r="AG71"/>
      <c r="AH71"/>
      <c r="AI71"/>
      <c r="AM71"/>
      <c r="AN71"/>
      <c r="AO71"/>
      <c r="AP71"/>
      <c r="AQ71"/>
      <c r="AR71"/>
      <c r="AV71"/>
      <c r="AW71"/>
      <c r="AX71"/>
      <c r="AY71"/>
      <c r="AZ71"/>
      <c r="BA71"/>
      <c r="BE71"/>
      <c r="BF71"/>
      <c r="BG71"/>
      <c r="BH71"/>
      <c r="BI71"/>
      <c r="BJ71"/>
      <c r="BN71"/>
      <c r="BO71"/>
      <c r="BP71"/>
      <c r="BQ71"/>
      <c r="BR71"/>
      <c r="BS71"/>
      <c r="BX71"/>
      <c r="BY71"/>
      <c r="BZ71"/>
      <c r="CA71"/>
      <c r="CB71"/>
      <c r="CC71" s="11"/>
      <c r="CD71" s="11"/>
      <c r="CE71"/>
      <c r="CF71"/>
      <c r="CG71"/>
      <c r="CH71"/>
      <c r="CI71"/>
      <c r="CJ71"/>
      <c r="CK71"/>
      <c r="CL71" s="11"/>
      <c r="CM71" s="11"/>
      <c r="CU71" s="11"/>
      <c r="CV71" s="11"/>
      <c r="DD71" s="11"/>
      <c r="DE71" s="11"/>
    </row>
    <row r="72" spans="12:109" x14ac:dyDescent="0.35">
      <c r="L72"/>
      <c r="M72"/>
      <c r="N72"/>
      <c r="O72"/>
      <c r="P72"/>
      <c r="Q72"/>
      <c r="U72"/>
      <c r="V72"/>
      <c r="W72"/>
      <c r="X72"/>
      <c r="Y72"/>
      <c r="Z72"/>
      <c r="AD72"/>
      <c r="AE72"/>
      <c r="AF72"/>
      <c r="AG72"/>
      <c r="AH72"/>
      <c r="AI72"/>
      <c r="AM72"/>
      <c r="AN72"/>
      <c r="AO72"/>
      <c r="AP72"/>
      <c r="AQ72"/>
      <c r="AR72"/>
      <c r="AV72"/>
      <c r="AW72"/>
      <c r="AX72"/>
      <c r="AY72"/>
      <c r="AZ72"/>
      <c r="BA72"/>
      <c r="BE72"/>
      <c r="BF72"/>
      <c r="BG72"/>
      <c r="BH72"/>
      <c r="BI72"/>
      <c r="BJ72"/>
      <c r="BN72"/>
      <c r="BO72"/>
      <c r="BP72"/>
      <c r="BQ72"/>
      <c r="BR72"/>
      <c r="BS72"/>
      <c r="BX72"/>
      <c r="BY72"/>
      <c r="BZ72"/>
      <c r="CA72"/>
      <c r="CB72"/>
      <c r="CC72" s="11"/>
      <c r="CD72" s="11"/>
      <c r="CE72"/>
      <c r="CF72"/>
      <c r="CG72"/>
      <c r="CH72"/>
      <c r="CI72"/>
      <c r="CJ72"/>
      <c r="CK72"/>
      <c r="CL72" s="11"/>
      <c r="CM72" s="11"/>
      <c r="CU72" s="11"/>
      <c r="CV72" s="11"/>
      <c r="DD72" s="11"/>
      <c r="DE72" s="11"/>
    </row>
    <row r="73" spans="12:109" x14ac:dyDescent="0.35">
      <c r="L73"/>
      <c r="M73"/>
      <c r="N73"/>
      <c r="O73"/>
      <c r="P73"/>
      <c r="Q73"/>
      <c r="U73"/>
      <c r="V73"/>
      <c r="W73"/>
      <c r="X73"/>
      <c r="Y73"/>
      <c r="Z73"/>
      <c r="AD73"/>
      <c r="AE73"/>
      <c r="AF73"/>
      <c r="AG73"/>
      <c r="AH73"/>
      <c r="AI73"/>
      <c r="AM73"/>
      <c r="AN73"/>
      <c r="AO73"/>
      <c r="AP73"/>
      <c r="AQ73"/>
      <c r="AR73"/>
      <c r="AV73"/>
      <c r="AW73"/>
      <c r="AX73"/>
      <c r="AY73"/>
      <c r="AZ73"/>
      <c r="BA73"/>
      <c r="BE73"/>
      <c r="BF73"/>
      <c r="BG73"/>
      <c r="BH73"/>
      <c r="BI73"/>
      <c r="BJ73"/>
      <c r="BN73"/>
      <c r="BO73"/>
      <c r="BP73"/>
      <c r="BQ73"/>
      <c r="BR73"/>
      <c r="BS73"/>
      <c r="BX73"/>
      <c r="BY73"/>
      <c r="BZ73"/>
      <c r="CA73"/>
      <c r="CB73"/>
      <c r="CC73" s="11"/>
      <c r="CD73" s="11"/>
      <c r="CE73"/>
      <c r="CF73"/>
      <c r="CG73"/>
      <c r="CH73"/>
      <c r="CI73"/>
      <c r="CJ73"/>
      <c r="CK73"/>
      <c r="CL73" s="11"/>
      <c r="CM73" s="11"/>
      <c r="CU73" s="11"/>
      <c r="CV73" s="11"/>
      <c r="DD73" s="11"/>
      <c r="DE73" s="11"/>
    </row>
    <row r="74" spans="12:109" x14ac:dyDescent="0.35">
      <c r="L74"/>
      <c r="M74"/>
      <c r="N74"/>
      <c r="O74"/>
      <c r="P74"/>
      <c r="Q74"/>
      <c r="U74"/>
      <c r="V74"/>
      <c r="W74"/>
      <c r="X74"/>
      <c r="Y74"/>
      <c r="Z74"/>
      <c r="AD74"/>
      <c r="AE74"/>
      <c r="AF74"/>
      <c r="AG74"/>
      <c r="AH74"/>
      <c r="AI74"/>
      <c r="AM74"/>
      <c r="AN74"/>
      <c r="AO74"/>
      <c r="AP74"/>
      <c r="AQ74"/>
      <c r="AR74"/>
      <c r="AV74"/>
      <c r="AW74"/>
      <c r="AX74"/>
      <c r="AY74"/>
      <c r="AZ74"/>
      <c r="BA74"/>
      <c r="BE74"/>
      <c r="BF74"/>
      <c r="BG74"/>
      <c r="BH74"/>
      <c r="BI74"/>
      <c r="BJ74"/>
      <c r="BN74"/>
      <c r="BO74"/>
      <c r="BP74"/>
      <c r="BQ74"/>
      <c r="BR74"/>
      <c r="BS74"/>
      <c r="BX74"/>
      <c r="BY74"/>
      <c r="BZ74"/>
      <c r="CA74"/>
      <c r="CB74"/>
      <c r="CC74" s="11"/>
      <c r="CD74" s="11"/>
      <c r="CE74"/>
      <c r="CF74"/>
      <c r="CG74"/>
      <c r="CH74"/>
      <c r="CI74"/>
      <c r="CJ74"/>
      <c r="CK74"/>
      <c r="CL74" s="11"/>
      <c r="CM74" s="11"/>
      <c r="CU74" s="11"/>
      <c r="CV74" s="11"/>
      <c r="DD74" s="11"/>
      <c r="DE74" s="11"/>
    </row>
    <row r="77" spans="12:109" x14ac:dyDescent="0.35">
      <c r="U77" s="31"/>
      <c r="V77" s="31"/>
      <c r="W77" s="31"/>
      <c r="X77" s="31"/>
      <c r="Y77" s="31"/>
      <c r="Z77" s="31"/>
    </row>
    <row r="81" spans="27:28" x14ac:dyDescent="0.35">
      <c r="AA81" s="31"/>
    </row>
    <row r="82" spans="27:28" x14ac:dyDescent="0.35">
      <c r="AA82" s="31"/>
    </row>
    <row r="83" spans="27:28" x14ac:dyDescent="0.35">
      <c r="AA83" s="31"/>
    </row>
    <row r="84" spans="27:28" x14ac:dyDescent="0.35">
      <c r="AB84" s="31"/>
    </row>
    <row r="85" spans="27:28" x14ac:dyDescent="0.35">
      <c r="AA85" s="31"/>
      <c r="AB85" s="31"/>
    </row>
    <row r="86" spans="27:28" x14ac:dyDescent="0.35">
      <c r="AB86" s="542"/>
    </row>
    <row r="87" spans="27:28" x14ac:dyDescent="0.35">
      <c r="AB87" s="552"/>
    </row>
    <row r="90" spans="27:28" x14ac:dyDescent="0.35">
      <c r="AA90" s="6"/>
      <c r="AB90" s="552"/>
    </row>
  </sheetData>
  <mergeCells count="15">
    <mergeCell ref="A20:A21"/>
    <mergeCell ref="B20:B21"/>
    <mergeCell ref="A5:A6"/>
    <mergeCell ref="B5:B6"/>
    <mergeCell ref="AM1:AT1"/>
    <mergeCell ref="A1:B1"/>
    <mergeCell ref="C1:J1"/>
    <mergeCell ref="L1:S1"/>
    <mergeCell ref="U1:AB1"/>
    <mergeCell ref="AD1:AK1"/>
    <mergeCell ref="AV1:BC1"/>
    <mergeCell ref="BE1:BL1"/>
    <mergeCell ref="BN1:BU1"/>
    <mergeCell ref="BW5:BW6"/>
    <mergeCell ref="BW20:BW21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2" orientation="landscape" copies="2" r:id="rId1"/>
  <headerFooter>
    <oddHeader>&amp;L&amp;F&amp;R&amp;A</oddHeader>
    <oddFooter>&amp;L&amp;D&amp;C&amp;P/&amp;N&amp;R&amp;T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7" tint="0.59999389629810485"/>
    <pageSetUpPr fitToPage="1"/>
  </sheetPr>
  <dimension ref="A1:P35"/>
  <sheetViews>
    <sheetView showGridLines="0" zoomScale="85" zoomScaleNormal="85" workbookViewId="0">
      <selection sqref="A1:N1"/>
    </sheetView>
  </sheetViews>
  <sheetFormatPr baseColWidth="10" defaultColWidth="11.453125" defaultRowHeight="14.5" x14ac:dyDescent="0.35"/>
  <cols>
    <col min="1" max="1" width="29.81640625" style="29" customWidth="1"/>
    <col min="2" max="2" width="8" style="11" customWidth="1"/>
    <col min="3" max="9" width="10.26953125" style="11" bestFit="1" customWidth="1"/>
    <col min="10" max="10" width="6.7265625" style="11" customWidth="1"/>
    <col min="11" max="13" width="10.26953125" style="11" customWidth="1"/>
    <col min="14" max="14" width="9.81640625" style="11" bestFit="1" customWidth="1"/>
    <col min="15" max="15" width="6.26953125" customWidth="1"/>
    <col min="16" max="16" width="27.81640625" bestFit="1" customWidth="1"/>
    <col min="17" max="17" width="6.7265625" customWidth="1"/>
    <col min="18" max="18" width="8.81640625" bestFit="1" customWidth="1"/>
    <col min="19" max="19" width="10.81640625" bestFit="1" customWidth="1"/>
    <col min="20" max="20" width="12" bestFit="1" customWidth="1"/>
    <col min="21" max="21" width="8.81640625" bestFit="1" customWidth="1"/>
    <col min="22" max="22" width="10.81640625" bestFit="1" customWidth="1"/>
    <col min="23" max="23" width="12" bestFit="1" customWidth="1"/>
    <col min="24" max="24" width="8.81640625" bestFit="1" customWidth="1"/>
    <col min="25" max="25" width="10.81640625" bestFit="1" customWidth="1"/>
    <col min="26" max="26" width="12" bestFit="1" customWidth="1"/>
    <col min="27" max="27" width="8.81640625" bestFit="1" customWidth="1"/>
    <col min="28" max="28" width="12" bestFit="1" customWidth="1"/>
    <col min="29" max="29" width="13.1796875" bestFit="1" customWidth="1"/>
    <col min="30" max="30" width="8.7265625" bestFit="1" customWidth="1"/>
  </cols>
  <sheetData>
    <row r="1" spans="1:16" x14ac:dyDescent="0.35">
      <c r="A1" s="717" t="s">
        <v>325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704"/>
    </row>
    <row r="3" spans="1:16" x14ac:dyDescent="0.35">
      <c r="A3" s="42" t="s">
        <v>74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6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6" ht="25.15" customHeight="1" x14ac:dyDescent="0.35">
      <c r="A5" s="691" t="s">
        <v>108</v>
      </c>
      <c r="B5" s="678"/>
      <c r="C5" s="3">
        <f>'2. CEP offre de base'!C$3</f>
        <v>2024</v>
      </c>
      <c r="D5" s="3">
        <f>'2. CEP offre de base'!D$12</f>
        <v>2025</v>
      </c>
      <c r="E5" s="3">
        <f>'2. CEP offre de base'!E$12</f>
        <v>2026</v>
      </c>
      <c r="F5" s="3">
        <f>'2. CEP offre de base'!F$12</f>
        <v>2027</v>
      </c>
      <c r="G5" s="3">
        <f>'2. CEP offre de base'!G$12</f>
        <v>2028</v>
      </c>
      <c r="H5" s="3" t="e">
        <f>'2. CEP offre de base'!#REF!</f>
        <v>#REF!</v>
      </c>
      <c r="I5" s="3">
        <f>'2. CEP offre de base'!H$12</f>
        <v>2029</v>
      </c>
      <c r="J5"/>
      <c r="K5" s="179" t="s">
        <v>295</v>
      </c>
      <c r="L5" s="179" t="s">
        <v>296</v>
      </c>
      <c r="M5" s="179" t="s">
        <v>271</v>
      </c>
      <c r="N5" s="4" t="s">
        <v>62</v>
      </c>
      <c r="P5" s="683" t="s">
        <v>305</v>
      </c>
    </row>
    <row r="6" spans="1:16" ht="20.25" customHeight="1" x14ac:dyDescent="0.35">
      <c r="A6" s="694"/>
      <c r="B6" s="679"/>
      <c r="C6" s="77">
        <f>'2. CEP offre de base'!C$13</f>
        <v>12</v>
      </c>
      <c r="D6" s="77">
        <f>'2. CEP offre de base'!D$13</f>
        <v>12</v>
      </c>
      <c r="E6" s="77">
        <f>'2. CEP offre de base'!E$13</f>
        <v>12</v>
      </c>
      <c r="F6" s="77">
        <f>'2. CEP offre de base'!F$13</f>
        <v>12</v>
      </c>
      <c r="G6" s="77">
        <f>'2. CEP offre de base'!G$13</f>
        <v>12</v>
      </c>
      <c r="H6" s="77" t="e">
        <f>'2. CEP offre de base'!#REF!</f>
        <v>#REF!</v>
      </c>
      <c r="I6" s="77">
        <f>'2. CEP offre de base'!H$13</f>
        <v>12</v>
      </c>
      <c r="J6"/>
      <c r="K6" s="78">
        <v>12</v>
      </c>
      <c r="L6" s="78">
        <v>12</v>
      </c>
      <c r="M6" s="78">
        <v>12</v>
      </c>
      <c r="N6" s="78" t="e">
        <f>SUM(C6:I6)</f>
        <v>#REF!</v>
      </c>
      <c r="P6" s="684"/>
    </row>
    <row r="7" spans="1:16" x14ac:dyDescent="0.35">
      <c r="A7" s="32" t="s">
        <v>174</v>
      </c>
      <c r="B7" s="76"/>
      <c r="C7" s="75">
        <v>2540657</v>
      </c>
      <c r="D7" s="75">
        <v>2540657</v>
      </c>
      <c r="E7" s="75">
        <v>2191618</v>
      </c>
      <c r="F7" s="75">
        <v>2191618</v>
      </c>
      <c r="G7" s="75">
        <v>2191618</v>
      </c>
      <c r="H7" s="75">
        <v>2191618</v>
      </c>
      <c r="I7" s="75">
        <v>2191618</v>
      </c>
      <c r="J7"/>
      <c r="K7" s="218">
        <f>IFERROR(AVERAGE(C7:D7),"")</f>
        <v>2540657</v>
      </c>
      <c r="L7" s="218">
        <f t="shared" ref="L7:L9" si="0">IFERROR(AVERAGE(E7:I7),"")</f>
        <v>2191618</v>
      </c>
      <c r="M7" s="218">
        <f t="shared" ref="M7:M9" si="1">IFERROR(AVERAGE(C7:I7),"")</f>
        <v>2291343.4285714286</v>
      </c>
      <c r="N7" s="10">
        <f>SUM(C7:I7)</f>
        <v>16039404</v>
      </c>
      <c r="P7" s="186"/>
    </row>
    <row r="8" spans="1:16" x14ac:dyDescent="0.35">
      <c r="A8" s="25" t="s">
        <v>162</v>
      </c>
      <c r="B8" s="76"/>
      <c r="C8" s="75">
        <v>112.2</v>
      </c>
      <c r="D8" s="75">
        <v>112.2</v>
      </c>
      <c r="E8" s="75">
        <v>105.6</v>
      </c>
      <c r="F8" s="75">
        <v>105.6</v>
      </c>
      <c r="G8" s="75">
        <v>105.6</v>
      </c>
      <c r="H8" s="75">
        <v>105.6</v>
      </c>
      <c r="I8" s="75">
        <v>105.6</v>
      </c>
      <c r="J8"/>
      <c r="K8" s="219">
        <f t="shared" ref="K8:K9" si="2">IFERROR(AVERAGE(C8:D8),"")</f>
        <v>112.2</v>
      </c>
      <c r="L8" s="219">
        <f t="shared" si="0"/>
        <v>105.6</v>
      </c>
      <c r="M8" s="219">
        <f t="shared" si="1"/>
        <v>107.48571428571429</v>
      </c>
      <c r="N8" s="14">
        <f t="shared" ref="N8:N9" si="3">SUM(C8:I8)</f>
        <v>752.40000000000009</v>
      </c>
      <c r="P8" s="187"/>
    </row>
    <row r="9" spans="1:16" x14ac:dyDescent="0.35">
      <c r="A9" s="52" t="s">
        <v>307</v>
      </c>
      <c r="B9" s="217"/>
      <c r="C9" s="230">
        <v>198382.1874</v>
      </c>
      <c r="D9" s="230">
        <v>198382.1874</v>
      </c>
      <c r="E9" s="230">
        <v>168356.44339999999</v>
      </c>
      <c r="F9" s="230">
        <v>168356.44339999999</v>
      </c>
      <c r="G9" s="230">
        <v>168356.44339999999</v>
      </c>
      <c r="H9" s="230">
        <v>168356.44339999999</v>
      </c>
      <c r="I9" s="230">
        <v>168356.44339999999</v>
      </c>
      <c r="J9"/>
      <c r="K9" s="220">
        <f t="shared" si="2"/>
        <v>198382.1874</v>
      </c>
      <c r="L9" s="220">
        <f t="shared" si="0"/>
        <v>168356.44339999999</v>
      </c>
      <c r="M9" s="220">
        <f t="shared" si="1"/>
        <v>176935.22739999997</v>
      </c>
      <c r="N9" s="16">
        <f t="shared" si="3"/>
        <v>1238546.5917999998</v>
      </c>
      <c r="P9" s="202"/>
    </row>
    <row r="10" spans="1:16" ht="13.15" customHeight="1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6" x14ac:dyDescent="0.35">
      <c r="J11"/>
    </row>
    <row r="12" spans="1:16" x14ac:dyDescent="0.35">
      <c r="A12" s="42" t="s">
        <v>103</v>
      </c>
      <c r="B12" s="43"/>
      <c r="C12" s="44"/>
      <c r="D12" s="44"/>
      <c r="E12" s="44"/>
      <c r="F12" s="44"/>
      <c r="G12" s="44"/>
      <c r="H12" s="44"/>
      <c r="I12" s="44"/>
      <c r="J12"/>
      <c r="K12" s="44"/>
      <c r="L12" s="44"/>
      <c r="M12" s="44"/>
      <c r="N12" s="44"/>
    </row>
    <row r="13" spans="1:16" x14ac:dyDescent="0.35">
      <c r="J13"/>
    </row>
    <row r="14" spans="1:16" ht="26" x14ac:dyDescent="0.35">
      <c r="A14" s="691" t="s">
        <v>184</v>
      </c>
      <c r="B14" s="678"/>
      <c r="C14" s="3">
        <f>'2. CEP offre de base'!C$3</f>
        <v>2024</v>
      </c>
      <c r="D14" s="3">
        <f>'2. CEP offre de base'!D$12</f>
        <v>2025</v>
      </c>
      <c r="E14" s="3">
        <f>'2. CEP offre de base'!E$12</f>
        <v>2026</v>
      </c>
      <c r="F14" s="3">
        <f>'2. CEP offre de base'!F$12</f>
        <v>2027</v>
      </c>
      <c r="G14" s="3">
        <f>'2. CEP offre de base'!G$12</f>
        <v>2028</v>
      </c>
      <c r="H14" s="3" t="e">
        <f>'2. CEP offre de base'!#REF!</f>
        <v>#REF!</v>
      </c>
      <c r="I14" s="120">
        <f>'2. CEP offre de base'!H$12</f>
        <v>2029</v>
      </c>
      <c r="J14"/>
      <c r="K14" s="179" t="s">
        <v>295</v>
      </c>
      <c r="L14" s="179" t="s">
        <v>296</v>
      </c>
      <c r="M14" s="179" t="s">
        <v>271</v>
      </c>
      <c r="N14" s="4" t="s">
        <v>62</v>
      </c>
      <c r="P14" s="685" t="s">
        <v>305</v>
      </c>
    </row>
    <row r="15" spans="1:16" x14ac:dyDescent="0.35">
      <c r="A15" s="694"/>
      <c r="B15" s="679"/>
      <c r="C15" s="77">
        <f>'2. CEP offre de base'!C$13</f>
        <v>12</v>
      </c>
      <c r="D15" s="77">
        <f>'2. CEP offre de base'!D$13</f>
        <v>12</v>
      </c>
      <c r="E15" s="77">
        <f>'2. CEP offre de base'!E$13</f>
        <v>12</v>
      </c>
      <c r="F15" s="77">
        <f>'2. CEP offre de base'!F$13</f>
        <v>12</v>
      </c>
      <c r="G15" s="77">
        <f>'2. CEP offre de base'!G$13</f>
        <v>12</v>
      </c>
      <c r="H15" s="77" t="e">
        <f>'2. CEP offre de base'!#REF!</f>
        <v>#REF!</v>
      </c>
      <c r="I15" s="181">
        <f>'2. CEP offre de base'!H$13</f>
        <v>12</v>
      </c>
      <c r="J15"/>
      <c r="K15" s="78">
        <v>12</v>
      </c>
      <c r="L15" s="78">
        <v>12</v>
      </c>
      <c r="M15" s="78">
        <v>12</v>
      </c>
      <c r="N15" s="78" t="e">
        <f>SUM(C15:I15)</f>
        <v>#REF!</v>
      </c>
      <c r="P15" s="685"/>
    </row>
    <row r="16" spans="1:16" x14ac:dyDescent="0.35">
      <c r="A16" s="21" t="s">
        <v>209</v>
      </c>
      <c r="B16" s="150"/>
      <c r="C16" s="221">
        <f>SUM(C17:C19)</f>
        <v>7402962.3246867927</v>
      </c>
      <c r="D16" s="221">
        <f t="shared" ref="D16:I16" si="4">SUM(D17:D19)</f>
        <v>7352609.5281240353</v>
      </c>
      <c r="E16" s="221">
        <f t="shared" si="4"/>
        <v>6379669.2004666552</v>
      </c>
      <c r="F16" s="221">
        <f t="shared" si="4"/>
        <v>6342112.130994549</v>
      </c>
      <c r="G16" s="221">
        <f t="shared" si="4"/>
        <v>6406424.9906028965</v>
      </c>
      <c r="H16" s="221">
        <f t="shared" si="4"/>
        <v>6419533.396895525</v>
      </c>
      <c r="I16" s="222">
        <f t="shared" si="4"/>
        <v>6433042.0580917876</v>
      </c>
      <c r="J16"/>
      <c r="K16" s="223">
        <f t="shared" ref="K16:K28" si="5">IFERROR(AVERAGE(C16:D16),"")</f>
        <v>7377785.926405414</v>
      </c>
      <c r="L16" s="224">
        <f t="shared" ref="L16:L28" si="6">IFERROR(AVERAGE(E16:I16),"")</f>
        <v>6396156.3554102825</v>
      </c>
      <c r="M16" s="221">
        <f t="shared" ref="M16:M28" si="7">IFERROR(AVERAGE(C16:I16),"")</f>
        <v>6676621.9471231783</v>
      </c>
      <c r="N16" s="224">
        <f t="shared" ref="N16:N20" si="8">SUM(C16:I16)</f>
        <v>46736353.629862249</v>
      </c>
      <c r="P16" s="188"/>
    </row>
    <row r="17" spans="1:16" x14ac:dyDescent="0.35">
      <c r="A17" s="25" t="s">
        <v>1</v>
      </c>
      <c r="B17" s="12"/>
      <c r="C17" s="13">
        <v>2430107.3324685632</v>
      </c>
      <c r="D17" s="13">
        <v>2431122.6482301527</v>
      </c>
      <c r="E17" s="13">
        <v>2221090.3812054736</v>
      </c>
      <c r="F17" s="13">
        <v>2221766.5496423915</v>
      </c>
      <c r="G17" s="13">
        <v>2222363.7388677564</v>
      </c>
      <c r="H17" s="13">
        <v>2222997.2044000453</v>
      </c>
      <c r="I17" s="157">
        <v>2223752.0975263654</v>
      </c>
      <c r="J17"/>
      <c r="K17" s="206">
        <f t="shared" si="5"/>
        <v>2430614.9903493579</v>
      </c>
      <c r="L17" s="14">
        <f t="shared" si="6"/>
        <v>2222393.9943284066</v>
      </c>
      <c r="M17" s="212">
        <f t="shared" si="7"/>
        <v>2281885.7074772497</v>
      </c>
      <c r="N17" s="14">
        <f t="shared" si="8"/>
        <v>15973199.952340748</v>
      </c>
      <c r="P17" s="187" t="s">
        <v>315</v>
      </c>
    </row>
    <row r="18" spans="1:16" x14ac:dyDescent="0.35">
      <c r="A18" s="25" t="s">
        <v>167</v>
      </c>
      <c r="B18" s="12"/>
      <c r="C18" s="13">
        <v>4768950.2674307479</v>
      </c>
      <c r="D18" s="13">
        <v>4717570.0183496596</v>
      </c>
      <c r="E18" s="13">
        <v>3966518.0469151414</v>
      </c>
      <c r="F18" s="13">
        <v>3928295.1950528617</v>
      </c>
      <c r="G18" s="13">
        <v>3992027.8614339521</v>
      </c>
      <c r="H18" s="13">
        <v>4004516.7481620619</v>
      </c>
      <c r="I18" s="157">
        <v>4017274.2716766829</v>
      </c>
      <c r="J18"/>
      <c r="K18" s="206">
        <f t="shared" si="5"/>
        <v>4743260.1428902037</v>
      </c>
      <c r="L18" s="14">
        <f t="shared" si="6"/>
        <v>3981726.4246481396</v>
      </c>
      <c r="M18" s="212">
        <f t="shared" si="7"/>
        <v>4199307.4870030154</v>
      </c>
      <c r="N18" s="14">
        <f t="shared" si="8"/>
        <v>29395152.409021106</v>
      </c>
      <c r="P18" s="187" t="s">
        <v>311</v>
      </c>
    </row>
    <row r="19" spans="1:16" x14ac:dyDescent="0.35">
      <c r="A19" s="25" t="s">
        <v>2</v>
      </c>
      <c r="B19" s="12"/>
      <c r="C19" s="13">
        <v>203904.72478748244</v>
      </c>
      <c r="D19" s="13">
        <v>203916.86154422234</v>
      </c>
      <c r="E19" s="13">
        <v>192060.77234603988</v>
      </c>
      <c r="F19" s="13">
        <v>192050.38629929553</v>
      </c>
      <c r="G19" s="13">
        <v>192033.3903011879</v>
      </c>
      <c r="H19" s="13">
        <v>192019.44433341862</v>
      </c>
      <c r="I19" s="157">
        <v>192015.68888874023</v>
      </c>
      <c r="J19"/>
      <c r="K19" s="206">
        <f t="shared" si="5"/>
        <v>203910.79316585237</v>
      </c>
      <c r="L19" s="14">
        <f t="shared" si="6"/>
        <v>192035.93643373644</v>
      </c>
      <c r="M19" s="212">
        <f t="shared" si="7"/>
        <v>195428.75264291241</v>
      </c>
      <c r="N19" s="14">
        <f t="shared" si="8"/>
        <v>1368001.268500387</v>
      </c>
      <c r="P19" s="187" t="s">
        <v>312</v>
      </c>
    </row>
    <row r="20" spans="1:16" x14ac:dyDescent="0.35">
      <c r="A20" s="105" t="s">
        <v>163</v>
      </c>
      <c r="B20" s="155"/>
      <c r="C20" s="221">
        <f>SUM(C21:C28)</f>
        <v>2720251.3144390616</v>
      </c>
      <c r="D20" s="221">
        <f t="shared" ref="D20:I20" si="9">SUM(D21:D28)</f>
        <v>2708417.1944078393</v>
      </c>
      <c r="E20" s="221">
        <f t="shared" si="9"/>
        <v>2982001.6958890101</v>
      </c>
      <c r="F20" s="221">
        <f t="shared" si="9"/>
        <v>3068395.8820819561</v>
      </c>
      <c r="G20" s="221">
        <f t="shared" si="9"/>
        <v>3085121.6270276331</v>
      </c>
      <c r="H20" s="221">
        <f t="shared" si="9"/>
        <v>3139569.8538968391</v>
      </c>
      <c r="I20" s="222">
        <f t="shared" si="9"/>
        <v>3144419.5652541043</v>
      </c>
      <c r="J20"/>
      <c r="K20" s="223">
        <f t="shared" si="5"/>
        <v>2714334.2544234507</v>
      </c>
      <c r="L20" s="224">
        <f t="shared" si="6"/>
        <v>3083901.7248299085</v>
      </c>
      <c r="M20" s="221">
        <f t="shared" si="7"/>
        <v>2978311.0189994918</v>
      </c>
      <c r="N20" s="224">
        <f t="shared" si="8"/>
        <v>20848177.132996444</v>
      </c>
      <c r="P20" s="188"/>
    </row>
    <row r="21" spans="1:16" x14ac:dyDescent="0.35">
      <c r="A21" s="32" t="s">
        <v>3</v>
      </c>
      <c r="B21" s="8"/>
      <c r="C21" s="9"/>
      <c r="D21" s="9"/>
      <c r="E21" s="9"/>
      <c r="F21" s="9"/>
      <c r="G21" s="9"/>
      <c r="H21" s="9"/>
      <c r="I21" s="182"/>
      <c r="J21"/>
      <c r="K21" s="206" t="str">
        <f t="shared" si="5"/>
        <v/>
      </c>
      <c r="L21" s="14" t="str">
        <f t="shared" si="6"/>
        <v/>
      </c>
      <c r="M21" s="212" t="str">
        <f t="shared" si="7"/>
        <v/>
      </c>
      <c r="N21" s="14">
        <f t="shared" ref="N21:N28" si="10">SUM(C21:I21)</f>
        <v>0</v>
      </c>
      <c r="P21" s="187"/>
    </row>
    <row r="22" spans="1:16" x14ac:dyDescent="0.35">
      <c r="A22" s="25" t="s">
        <v>166</v>
      </c>
      <c r="B22" s="12"/>
      <c r="C22" s="13">
        <v>495886.02529018605</v>
      </c>
      <c r="D22" s="13">
        <v>495924.92405842606</v>
      </c>
      <c r="E22" s="13">
        <v>496238.115121376</v>
      </c>
      <c r="F22" s="13">
        <v>496203.85818862624</v>
      </c>
      <c r="G22" s="13">
        <v>496147.62608008529</v>
      </c>
      <c r="H22" s="13">
        <v>496101.6344021894</v>
      </c>
      <c r="I22" s="157">
        <v>496089.26572382788</v>
      </c>
      <c r="J22"/>
      <c r="K22" s="206">
        <f t="shared" si="5"/>
        <v>495905.47467430605</v>
      </c>
      <c r="L22" s="14">
        <f t="shared" si="6"/>
        <v>496156.09990322095</v>
      </c>
      <c r="M22" s="212">
        <f t="shared" si="7"/>
        <v>496084.49269495951</v>
      </c>
      <c r="N22" s="14">
        <f t="shared" si="10"/>
        <v>3472591.4488647166</v>
      </c>
      <c r="P22" s="187" t="s">
        <v>311</v>
      </c>
    </row>
    <row r="23" spans="1:16" x14ac:dyDescent="0.35">
      <c r="A23" s="25" t="s">
        <v>4</v>
      </c>
      <c r="B23" s="12"/>
      <c r="C23" s="13">
        <v>307058.93817049556</v>
      </c>
      <c r="D23" s="13">
        <v>307077.21484182467</v>
      </c>
      <c r="E23" s="13">
        <v>307299.64907574176</v>
      </c>
      <c r="F23" s="13">
        <v>307283.03127044585</v>
      </c>
      <c r="G23" s="13">
        <v>307255.837459912</v>
      </c>
      <c r="H23" s="13">
        <v>307233.52373624436</v>
      </c>
      <c r="I23" s="157">
        <v>307227.51497757022</v>
      </c>
      <c r="J23"/>
      <c r="K23" s="206">
        <f t="shared" si="5"/>
        <v>307068.07650616008</v>
      </c>
      <c r="L23" s="14">
        <f t="shared" si="6"/>
        <v>307259.91130398284</v>
      </c>
      <c r="M23" s="212">
        <f t="shared" si="7"/>
        <v>307205.10136174777</v>
      </c>
      <c r="N23" s="14">
        <f t="shared" si="10"/>
        <v>2150435.7095322344</v>
      </c>
      <c r="P23" s="187" t="s">
        <v>311</v>
      </c>
    </row>
    <row r="24" spans="1:16" x14ac:dyDescent="0.35">
      <c r="A24" s="25" t="s">
        <v>5</v>
      </c>
      <c r="B24" s="12"/>
      <c r="C24" s="13">
        <v>135983.39964667172</v>
      </c>
      <c r="D24" s="13">
        <v>120450.75120722358</v>
      </c>
      <c r="E24" s="13">
        <v>133863.06940776666</v>
      </c>
      <c r="F24" s="13">
        <v>118476.78266562245</v>
      </c>
      <c r="G24" s="13">
        <v>117347.12252175878</v>
      </c>
      <c r="H24" s="13">
        <v>124083.96134525308</v>
      </c>
      <c r="I24" s="157">
        <v>117912.0761965024</v>
      </c>
      <c r="J24"/>
      <c r="K24" s="206">
        <f t="shared" si="5"/>
        <v>128217.07542694765</v>
      </c>
      <c r="L24" s="14">
        <f t="shared" si="6"/>
        <v>122336.60242738067</v>
      </c>
      <c r="M24" s="212">
        <f t="shared" si="7"/>
        <v>124016.73757011408</v>
      </c>
      <c r="N24" s="14">
        <f t="shared" si="10"/>
        <v>868117.16299079859</v>
      </c>
      <c r="P24" s="187" t="s">
        <v>314</v>
      </c>
    </row>
    <row r="25" spans="1:16" x14ac:dyDescent="0.35">
      <c r="A25" s="25" t="s">
        <v>176</v>
      </c>
      <c r="B25" s="12"/>
      <c r="C25" s="13">
        <v>1006504.3315967709</v>
      </c>
      <c r="D25" s="13">
        <v>1012246.9658299246</v>
      </c>
      <c r="E25" s="13">
        <v>1296764.1409026575</v>
      </c>
      <c r="F25" s="13">
        <v>1396948.3861108441</v>
      </c>
      <c r="G25" s="13">
        <v>1412153.5423508182</v>
      </c>
      <c r="H25" s="13">
        <v>1457653.8528555329</v>
      </c>
      <c r="I25" s="157">
        <v>1468074.3328204032</v>
      </c>
      <c r="J25"/>
      <c r="K25" s="206">
        <f t="shared" si="5"/>
        <v>1009375.6487133477</v>
      </c>
      <c r="L25" s="14">
        <f t="shared" si="6"/>
        <v>1406318.8510080511</v>
      </c>
      <c r="M25" s="212">
        <f t="shared" si="7"/>
        <v>1292906.5074952787</v>
      </c>
      <c r="N25" s="14">
        <f t="shared" si="10"/>
        <v>9050345.5524669513</v>
      </c>
      <c r="P25" s="187" t="s">
        <v>313</v>
      </c>
    </row>
    <row r="26" spans="1:16" x14ac:dyDescent="0.35">
      <c r="A26" s="25" t="s">
        <v>182</v>
      </c>
      <c r="B26" s="12"/>
      <c r="C26" s="13"/>
      <c r="D26" s="13"/>
      <c r="E26" s="13"/>
      <c r="F26" s="13"/>
      <c r="G26" s="13"/>
      <c r="H26" s="13"/>
      <c r="I26" s="157"/>
      <c r="J26"/>
      <c r="K26" s="206" t="str">
        <f t="shared" si="5"/>
        <v/>
      </c>
      <c r="L26" s="14" t="str">
        <f t="shared" si="6"/>
        <v/>
      </c>
      <c r="M26" s="212" t="str">
        <f t="shared" si="7"/>
        <v/>
      </c>
      <c r="N26" s="14">
        <f t="shared" si="10"/>
        <v>0</v>
      </c>
      <c r="P26" s="187"/>
    </row>
    <row r="27" spans="1:16" x14ac:dyDescent="0.35">
      <c r="A27" s="25" t="s">
        <v>6</v>
      </c>
      <c r="B27" s="12"/>
      <c r="C27" s="13">
        <v>437535.7617200953</v>
      </c>
      <c r="D27" s="13">
        <v>437486.45723330969</v>
      </c>
      <c r="E27" s="13">
        <v>435682.25214474823</v>
      </c>
      <c r="F27" s="13">
        <v>435717.90384920407</v>
      </c>
      <c r="G27" s="13">
        <v>435777.58955510124</v>
      </c>
      <c r="H27" s="13">
        <v>435827.83736614231</v>
      </c>
      <c r="I27" s="157">
        <v>435841.56799895735</v>
      </c>
      <c r="J27"/>
      <c r="K27" s="206">
        <f t="shared" si="5"/>
        <v>437511.10947670252</v>
      </c>
      <c r="L27" s="14">
        <f t="shared" si="6"/>
        <v>435769.43018283061</v>
      </c>
      <c r="M27" s="212">
        <f t="shared" si="7"/>
        <v>436267.05283822259</v>
      </c>
      <c r="N27" s="14">
        <f t="shared" si="10"/>
        <v>3053869.3698675581</v>
      </c>
      <c r="P27" s="187" t="s">
        <v>314</v>
      </c>
    </row>
    <row r="28" spans="1:16" x14ac:dyDescent="0.35">
      <c r="A28" s="25" t="s">
        <v>196</v>
      </c>
      <c r="B28" s="12"/>
      <c r="C28" s="13">
        <v>337282.85801484209</v>
      </c>
      <c r="D28" s="13">
        <v>335230.88123713038</v>
      </c>
      <c r="E28" s="13">
        <v>312154.46923671971</v>
      </c>
      <c r="F28" s="13">
        <v>313765.91999721358</v>
      </c>
      <c r="G28" s="13">
        <v>316439.90905995714</v>
      </c>
      <c r="H28" s="13">
        <v>318669.0441914773</v>
      </c>
      <c r="I28" s="157">
        <v>319274.80753684317</v>
      </c>
      <c r="J28"/>
      <c r="K28" s="206">
        <f t="shared" si="5"/>
        <v>336256.8696259862</v>
      </c>
      <c r="L28" s="14">
        <f t="shared" si="6"/>
        <v>316060.83000444219</v>
      </c>
      <c r="M28" s="212">
        <f t="shared" si="7"/>
        <v>321831.12703916902</v>
      </c>
      <c r="N28" s="14">
        <f t="shared" si="10"/>
        <v>2252817.8892741832</v>
      </c>
      <c r="P28" s="187"/>
    </row>
    <row r="29" spans="1:16" x14ac:dyDescent="0.35">
      <c r="A29" s="96" t="s">
        <v>185</v>
      </c>
      <c r="B29" s="57"/>
      <c r="C29" s="60">
        <f>C16+C20</f>
        <v>10123213.639125854</v>
      </c>
      <c r="D29" s="19">
        <f t="shared" ref="D29:I29" si="11">D16+D20</f>
        <v>10061026.722531874</v>
      </c>
      <c r="E29" s="19">
        <f t="shared" si="11"/>
        <v>9361670.8963556662</v>
      </c>
      <c r="F29" s="19">
        <f t="shared" si="11"/>
        <v>9410508.0130765047</v>
      </c>
      <c r="G29" s="19">
        <f t="shared" si="11"/>
        <v>9491546.6176305301</v>
      </c>
      <c r="H29" s="19">
        <f t="shared" si="11"/>
        <v>9559103.2507923637</v>
      </c>
      <c r="I29" s="35">
        <f t="shared" si="11"/>
        <v>9577461.6233458929</v>
      </c>
      <c r="J29"/>
      <c r="K29" s="60">
        <f t="shared" ref="K29:N29" si="12">K16+K20</f>
        <v>10092120.180828866</v>
      </c>
      <c r="L29" s="20">
        <f t="shared" si="12"/>
        <v>9480058.08024019</v>
      </c>
      <c r="M29" s="35">
        <f t="shared" si="12"/>
        <v>9654932.9661226701</v>
      </c>
      <c r="N29" s="20">
        <f t="shared" si="12"/>
        <v>67584530.762858689</v>
      </c>
      <c r="P29" s="188"/>
    </row>
    <row r="30" spans="1:16" x14ac:dyDescent="0.35">
      <c r="J30"/>
    </row>
    <row r="31" spans="1:16" x14ac:dyDescent="0.35">
      <c r="J31"/>
    </row>
    <row r="32" spans="1:16" x14ac:dyDescent="0.35">
      <c r="J32"/>
    </row>
    <row r="33" spans="3:13" x14ac:dyDescent="0.35">
      <c r="C33" s="167"/>
      <c r="D33" s="167"/>
      <c r="E33" s="167"/>
      <c r="F33" s="167"/>
      <c r="G33" s="167"/>
      <c r="H33" s="167"/>
      <c r="I33" s="167"/>
      <c r="J33"/>
      <c r="K33" s="167"/>
      <c r="L33" s="167"/>
      <c r="M33" s="167"/>
    </row>
    <row r="35" spans="3:13" x14ac:dyDescent="0.35"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</row>
  </sheetData>
  <mergeCells count="7">
    <mergeCell ref="P5:P6"/>
    <mergeCell ref="P14:P15"/>
    <mergeCell ref="A1:N1"/>
    <mergeCell ref="A5:A6"/>
    <mergeCell ref="B5:B6"/>
    <mergeCell ref="A14:A15"/>
    <mergeCell ref="B14:B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copies="2" r:id="rId1"/>
  <headerFooter>
    <oddHeader>&amp;L&amp;F&amp;R&amp;A</oddHeader>
    <oddFooter>&amp;L&amp;D&amp;C&amp;P/&amp;N&amp;R&amp;T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7" tint="0.59999389629810485"/>
    <pageSetUpPr fitToPage="1"/>
  </sheetPr>
  <dimension ref="A1:P35"/>
  <sheetViews>
    <sheetView showGridLines="0" zoomScale="85" zoomScaleNormal="85" workbookViewId="0">
      <selection sqref="A1:N1"/>
    </sheetView>
  </sheetViews>
  <sheetFormatPr baseColWidth="10" defaultColWidth="11.453125" defaultRowHeight="14.5" x14ac:dyDescent="0.35"/>
  <cols>
    <col min="1" max="1" width="29.81640625" style="29" customWidth="1"/>
    <col min="2" max="2" width="8" style="11" customWidth="1"/>
    <col min="3" max="9" width="10.26953125" style="11" bestFit="1" customWidth="1"/>
    <col min="10" max="10" width="6.7265625" style="11" customWidth="1"/>
    <col min="11" max="13" width="10.26953125" style="11" customWidth="1"/>
    <col min="14" max="14" width="9.81640625" style="11" bestFit="1" customWidth="1"/>
    <col min="15" max="15" width="6.26953125" customWidth="1"/>
    <col min="16" max="16" width="27.81640625" bestFit="1" customWidth="1"/>
    <col min="17" max="17" width="6.7265625" customWidth="1"/>
    <col min="18" max="18" width="8.81640625" bestFit="1" customWidth="1"/>
    <col min="19" max="19" width="10.81640625" bestFit="1" customWidth="1"/>
    <col min="20" max="20" width="12" bestFit="1" customWidth="1"/>
    <col min="21" max="21" width="8.81640625" bestFit="1" customWidth="1"/>
    <col min="22" max="22" width="10.81640625" bestFit="1" customWidth="1"/>
    <col min="23" max="23" width="12" bestFit="1" customWidth="1"/>
    <col min="24" max="24" width="8.81640625" bestFit="1" customWidth="1"/>
    <col min="25" max="25" width="10.81640625" bestFit="1" customWidth="1"/>
    <col min="26" max="26" width="12" bestFit="1" customWidth="1"/>
    <col min="27" max="27" width="8.81640625" bestFit="1" customWidth="1"/>
    <col min="28" max="28" width="12" bestFit="1" customWidth="1"/>
    <col min="29" max="29" width="13.1796875" bestFit="1" customWidth="1"/>
    <col min="30" max="30" width="8.7265625" bestFit="1" customWidth="1"/>
  </cols>
  <sheetData>
    <row r="1" spans="1:16" x14ac:dyDescent="0.35">
      <c r="A1" s="717" t="s">
        <v>326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704"/>
    </row>
    <row r="3" spans="1:16" x14ac:dyDescent="0.35">
      <c r="A3" s="42" t="s">
        <v>74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6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6" ht="22.9" customHeight="1" x14ac:dyDescent="0.35">
      <c r="A5" s="691" t="s">
        <v>108</v>
      </c>
      <c r="B5" s="678"/>
      <c r="C5" s="3">
        <f>'2. CEP offre de base'!C$3</f>
        <v>2024</v>
      </c>
      <c r="D5" s="3">
        <f>'2. CEP offre de base'!D$12</f>
        <v>2025</v>
      </c>
      <c r="E5" s="3">
        <f>'2. CEP offre de base'!E$12</f>
        <v>2026</v>
      </c>
      <c r="F5" s="3">
        <f>'2. CEP offre de base'!F$12</f>
        <v>2027</v>
      </c>
      <c r="G5" s="3">
        <f>'2. CEP offre de base'!G$12</f>
        <v>2028</v>
      </c>
      <c r="H5" s="3" t="e">
        <f>'2. CEP offre de base'!#REF!</f>
        <v>#REF!</v>
      </c>
      <c r="I5" s="3">
        <f>'2. CEP offre de base'!H$12</f>
        <v>2029</v>
      </c>
      <c r="J5"/>
      <c r="K5" s="179" t="s">
        <v>295</v>
      </c>
      <c r="L5" s="179" t="s">
        <v>296</v>
      </c>
      <c r="M5" s="179" t="s">
        <v>271</v>
      </c>
      <c r="N5" s="4" t="s">
        <v>62</v>
      </c>
      <c r="P5" s="683" t="s">
        <v>305</v>
      </c>
    </row>
    <row r="6" spans="1:16" ht="20.25" customHeight="1" x14ac:dyDescent="0.35">
      <c r="A6" s="694"/>
      <c r="B6" s="679"/>
      <c r="C6" s="77">
        <f>'2. CEP offre de base'!C$13</f>
        <v>12</v>
      </c>
      <c r="D6" s="77">
        <f>'2. CEP offre de base'!D$13</f>
        <v>12</v>
      </c>
      <c r="E6" s="77">
        <f>'2. CEP offre de base'!E$13</f>
        <v>12</v>
      </c>
      <c r="F6" s="77">
        <f>'2. CEP offre de base'!F$13</f>
        <v>12</v>
      </c>
      <c r="G6" s="77">
        <f>'2. CEP offre de base'!G$13</f>
        <v>12</v>
      </c>
      <c r="H6" s="77" t="e">
        <f>'2. CEP offre de base'!#REF!</f>
        <v>#REF!</v>
      </c>
      <c r="I6" s="77">
        <f>'2. CEP offre de base'!H$13</f>
        <v>12</v>
      </c>
      <c r="J6"/>
      <c r="K6" s="78">
        <v>12</v>
      </c>
      <c r="L6" s="78">
        <v>12</v>
      </c>
      <c r="M6" s="78">
        <v>12</v>
      </c>
      <c r="N6" s="78" t="e">
        <f>SUM(C6:I6)</f>
        <v>#REF!</v>
      </c>
      <c r="P6" s="684"/>
    </row>
    <row r="7" spans="1:16" x14ac:dyDescent="0.35">
      <c r="A7" s="25" t="s">
        <v>174</v>
      </c>
      <c r="B7" s="76"/>
      <c r="C7" s="75">
        <v>2938829</v>
      </c>
      <c r="D7" s="75">
        <v>2938829</v>
      </c>
      <c r="E7" s="75">
        <v>3338039</v>
      </c>
      <c r="F7" s="75">
        <v>3338039</v>
      </c>
      <c r="G7" s="75">
        <v>3338039</v>
      </c>
      <c r="H7" s="75">
        <v>3338039</v>
      </c>
      <c r="I7" s="75">
        <v>3338039</v>
      </c>
      <c r="J7"/>
      <c r="K7" s="218">
        <f>IFERROR(AVERAGE(C7:D7),"")</f>
        <v>2938829</v>
      </c>
      <c r="L7" s="218">
        <f t="shared" ref="L7:L9" si="0">IFERROR(AVERAGE(E7:I7),"")</f>
        <v>3338039</v>
      </c>
      <c r="M7" s="218">
        <f t="shared" ref="M7:M9" si="1">IFERROR(AVERAGE(C7:I7),"")</f>
        <v>3223979</v>
      </c>
      <c r="N7" s="10">
        <f>SUM(C7:I7)</f>
        <v>22567853</v>
      </c>
      <c r="P7" s="186"/>
    </row>
    <row r="8" spans="1:16" x14ac:dyDescent="0.35">
      <c r="A8" s="25" t="s">
        <v>162</v>
      </c>
      <c r="B8" s="76"/>
      <c r="C8" s="75">
        <v>151.80000000000001</v>
      </c>
      <c r="D8" s="75">
        <v>151.80000000000001</v>
      </c>
      <c r="E8" s="75">
        <v>151.80000000000001</v>
      </c>
      <c r="F8" s="75">
        <v>151.80000000000001</v>
      </c>
      <c r="G8" s="75">
        <v>151.80000000000001</v>
      </c>
      <c r="H8" s="75">
        <v>151.80000000000001</v>
      </c>
      <c r="I8" s="75">
        <v>151.80000000000001</v>
      </c>
      <c r="J8"/>
      <c r="K8" s="219">
        <f t="shared" ref="K8:K9" si="2">IFERROR(AVERAGE(C8:D8),"")</f>
        <v>151.80000000000001</v>
      </c>
      <c r="L8" s="219">
        <f t="shared" si="0"/>
        <v>151.80000000000001</v>
      </c>
      <c r="M8" s="219">
        <f t="shared" si="1"/>
        <v>151.79999999999998</v>
      </c>
      <c r="N8" s="14">
        <f t="shared" ref="N8:N9" si="3">SUM(C8:I8)</f>
        <v>1062.5999999999999</v>
      </c>
      <c r="P8" s="187"/>
    </row>
    <row r="9" spans="1:16" x14ac:dyDescent="0.35">
      <c r="A9" s="52" t="s">
        <v>307</v>
      </c>
      <c r="B9" s="217"/>
      <c r="C9" s="230">
        <v>216828.91649999999</v>
      </c>
      <c r="D9" s="230">
        <v>216828.91649999999</v>
      </c>
      <c r="E9" s="230">
        <v>246466.40859999997</v>
      </c>
      <c r="F9" s="230">
        <v>246466.40859999997</v>
      </c>
      <c r="G9" s="230">
        <v>246466.40859999997</v>
      </c>
      <c r="H9" s="230">
        <v>246466.40859999997</v>
      </c>
      <c r="I9" s="230">
        <v>246466.40859999997</v>
      </c>
      <c r="J9"/>
      <c r="K9" s="220">
        <f t="shared" si="2"/>
        <v>216828.91649999999</v>
      </c>
      <c r="L9" s="220">
        <f t="shared" si="0"/>
        <v>246466.40859999997</v>
      </c>
      <c r="M9" s="220">
        <f t="shared" si="1"/>
        <v>237998.55371428566</v>
      </c>
      <c r="N9" s="16">
        <f t="shared" si="3"/>
        <v>1665989.8759999997</v>
      </c>
      <c r="P9" s="202"/>
    </row>
    <row r="10" spans="1:16" ht="13.15" customHeight="1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6" x14ac:dyDescent="0.35">
      <c r="J11"/>
    </row>
    <row r="12" spans="1:16" x14ac:dyDescent="0.35">
      <c r="A12" s="42" t="s">
        <v>103</v>
      </c>
      <c r="B12" s="43"/>
      <c r="C12" s="44"/>
      <c r="D12" s="44"/>
      <c r="E12" s="44"/>
      <c r="F12" s="44"/>
      <c r="G12" s="44"/>
      <c r="H12" s="44"/>
      <c r="I12" s="44"/>
      <c r="J12"/>
      <c r="K12" s="44"/>
      <c r="L12" s="44"/>
      <c r="M12" s="44"/>
      <c r="N12" s="44"/>
    </row>
    <row r="13" spans="1:16" x14ac:dyDescent="0.35">
      <c r="J13"/>
    </row>
    <row r="14" spans="1:16" ht="26" x14ac:dyDescent="0.35">
      <c r="A14" s="691" t="s">
        <v>184</v>
      </c>
      <c r="B14" s="678"/>
      <c r="C14" s="3">
        <f>'2. CEP offre de base'!C$3</f>
        <v>2024</v>
      </c>
      <c r="D14" s="3">
        <f>'2. CEP offre de base'!D$12</f>
        <v>2025</v>
      </c>
      <c r="E14" s="3">
        <f>'2. CEP offre de base'!E$12</f>
        <v>2026</v>
      </c>
      <c r="F14" s="3">
        <f>'2. CEP offre de base'!F$12</f>
        <v>2027</v>
      </c>
      <c r="G14" s="3">
        <f>'2. CEP offre de base'!G$12</f>
        <v>2028</v>
      </c>
      <c r="H14" s="3" t="e">
        <f>'2. CEP offre de base'!#REF!</f>
        <v>#REF!</v>
      </c>
      <c r="I14" s="120">
        <f>'2. CEP offre de base'!H$12</f>
        <v>2029</v>
      </c>
      <c r="J14"/>
      <c r="K14" s="179" t="s">
        <v>295</v>
      </c>
      <c r="L14" s="179" t="s">
        <v>296</v>
      </c>
      <c r="M14" s="179" t="s">
        <v>271</v>
      </c>
      <c r="N14" s="4" t="s">
        <v>62</v>
      </c>
      <c r="P14" s="685" t="s">
        <v>305</v>
      </c>
    </row>
    <row r="15" spans="1:16" x14ac:dyDescent="0.35">
      <c r="A15" s="694"/>
      <c r="B15" s="679"/>
      <c r="C15" s="77">
        <f>'2. CEP offre de base'!C$13</f>
        <v>12</v>
      </c>
      <c r="D15" s="77">
        <f>'2. CEP offre de base'!D$13</f>
        <v>12</v>
      </c>
      <c r="E15" s="77">
        <f>'2. CEP offre de base'!E$13</f>
        <v>12</v>
      </c>
      <c r="F15" s="77">
        <f>'2. CEP offre de base'!F$13</f>
        <v>12</v>
      </c>
      <c r="G15" s="77">
        <f>'2. CEP offre de base'!G$13</f>
        <v>12</v>
      </c>
      <c r="H15" s="77" t="e">
        <f>'2. CEP offre de base'!#REF!</f>
        <v>#REF!</v>
      </c>
      <c r="I15" s="181">
        <f>'2. CEP offre de base'!H$13</f>
        <v>12</v>
      </c>
      <c r="J15"/>
      <c r="K15" s="78">
        <v>12</v>
      </c>
      <c r="L15" s="78">
        <v>12</v>
      </c>
      <c r="M15" s="78">
        <v>12</v>
      </c>
      <c r="N15" s="78" t="e">
        <f>SUM(C15:I15)</f>
        <v>#REF!</v>
      </c>
      <c r="P15" s="685"/>
    </row>
    <row r="16" spans="1:16" x14ac:dyDescent="0.35">
      <c r="A16" s="21" t="s">
        <v>209</v>
      </c>
      <c r="B16" s="150"/>
      <c r="C16" s="221">
        <f>SUM(C17:C19)</f>
        <v>6539800.5656051561</v>
      </c>
      <c r="D16" s="221">
        <f t="shared" ref="D16:I16" si="4">SUM(D17:D19)</f>
        <v>6589323.549562674</v>
      </c>
      <c r="E16" s="221">
        <f t="shared" si="4"/>
        <v>7046481.9224769892</v>
      </c>
      <c r="F16" s="221">
        <f t="shared" si="4"/>
        <v>7140206.4871760374</v>
      </c>
      <c r="G16" s="221">
        <f t="shared" si="4"/>
        <v>7157526.9580582371</v>
      </c>
      <c r="H16" s="221">
        <f t="shared" si="4"/>
        <v>7174852.2362771137</v>
      </c>
      <c r="I16" s="222">
        <f t="shared" si="4"/>
        <v>7192182.3052746849</v>
      </c>
      <c r="J16"/>
      <c r="K16" s="223">
        <f t="shared" ref="K16:K28" si="5">IFERROR(AVERAGE(C16:D16),"")</f>
        <v>6564562.0575839151</v>
      </c>
      <c r="L16" s="224">
        <f t="shared" ref="L16:L28" si="6">IFERROR(AVERAGE(E16:I16),"")</f>
        <v>7142249.9818526134</v>
      </c>
      <c r="M16" s="221">
        <f t="shared" ref="M16:M28" si="7">IFERROR(AVERAGE(C16:I16),"")</f>
        <v>6977196.2892044131</v>
      </c>
      <c r="N16" s="224">
        <f t="shared" ref="N16:N28" si="8">SUM(C16:I16)</f>
        <v>48840374.024430893</v>
      </c>
      <c r="P16" s="188"/>
    </row>
    <row r="17" spans="1:16" x14ac:dyDescent="0.35">
      <c r="A17" s="25" t="s">
        <v>1</v>
      </c>
      <c r="B17" s="12"/>
      <c r="C17" s="13">
        <v>2573868.3813550496</v>
      </c>
      <c r="D17" s="13">
        <v>2589712.2861061962</v>
      </c>
      <c r="E17" s="13">
        <v>2773903.5899692597</v>
      </c>
      <c r="F17" s="13">
        <v>2766046.5717674736</v>
      </c>
      <c r="G17" s="13">
        <v>2768959.6463431241</v>
      </c>
      <c r="H17" s="13">
        <v>2771871.7986859162</v>
      </c>
      <c r="I17" s="157">
        <v>2774783.0319015747</v>
      </c>
      <c r="J17"/>
      <c r="K17" s="206">
        <f t="shared" si="5"/>
        <v>2581790.3337306231</v>
      </c>
      <c r="L17" s="14">
        <f t="shared" si="6"/>
        <v>2771112.9277334698</v>
      </c>
      <c r="M17" s="212">
        <f t="shared" si="7"/>
        <v>2717020.7580183707</v>
      </c>
      <c r="N17" s="14">
        <f t="shared" si="8"/>
        <v>19019145.306128595</v>
      </c>
      <c r="O17" s="162"/>
      <c r="P17" s="187" t="s">
        <v>315</v>
      </c>
    </row>
    <row r="18" spans="1:16" x14ac:dyDescent="0.35">
      <c r="A18" s="25" t="s">
        <v>167</v>
      </c>
      <c r="B18" s="12"/>
      <c r="C18" s="13">
        <v>3577847.5778278792</v>
      </c>
      <c r="D18" s="13">
        <v>3609403.9179909676</v>
      </c>
      <c r="E18" s="13">
        <v>3843131.000144091</v>
      </c>
      <c r="F18" s="13">
        <v>3946221.2206218773</v>
      </c>
      <c r="G18" s="13">
        <v>3960472.6178578669</v>
      </c>
      <c r="H18" s="13">
        <v>3974730.1004116242</v>
      </c>
      <c r="I18" s="157">
        <v>3988993.6474112887</v>
      </c>
      <c r="J18"/>
      <c r="K18" s="206">
        <f t="shared" si="5"/>
        <v>3593625.7479094234</v>
      </c>
      <c r="L18" s="14">
        <f t="shared" si="6"/>
        <v>3942709.7172893495</v>
      </c>
      <c r="M18" s="212">
        <f t="shared" si="7"/>
        <v>3842971.440323656</v>
      </c>
      <c r="N18" s="14">
        <f t="shared" si="8"/>
        <v>26900800.082265593</v>
      </c>
      <c r="O18" s="162"/>
      <c r="P18" s="187" t="s">
        <v>311</v>
      </c>
    </row>
    <row r="19" spans="1:16" x14ac:dyDescent="0.35">
      <c r="A19" s="25" t="s">
        <v>2</v>
      </c>
      <c r="B19" s="12"/>
      <c r="C19" s="13">
        <v>388084.60642222734</v>
      </c>
      <c r="D19" s="13">
        <v>390207.34546551056</v>
      </c>
      <c r="E19" s="13">
        <v>429447.33236363775</v>
      </c>
      <c r="F19" s="13">
        <v>427938.69478668657</v>
      </c>
      <c r="G19" s="13">
        <v>428094.69385724573</v>
      </c>
      <c r="H19" s="13">
        <v>428250.33717957302</v>
      </c>
      <c r="I19" s="157">
        <v>428405.62596182182</v>
      </c>
      <c r="J19"/>
      <c r="K19" s="206">
        <f t="shared" si="5"/>
        <v>389145.97594386898</v>
      </c>
      <c r="L19" s="14">
        <f t="shared" si="6"/>
        <v>428427.336829793</v>
      </c>
      <c r="M19" s="212">
        <f t="shared" si="7"/>
        <v>417204.0908623861</v>
      </c>
      <c r="N19" s="14">
        <f t="shared" si="8"/>
        <v>2920428.6360367029</v>
      </c>
      <c r="O19" s="162"/>
      <c r="P19" s="187" t="s">
        <v>312</v>
      </c>
    </row>
    <row r="20" spans="1:16" x14ac:dyDescent="0.35">
      <c r="A20" s="105" t="s">
        <v>163</v>
      </c>
      <c r="B20" s="155"/>
      <c r="C20" s="221">
        <f>SUM(C21:C28)</f>
        <v>6319166.5271975826</v>
      </c>
      <c r="D20" s="221">
        <f t="shared" ref="D20:I20" si="9">SUM(D21:D28)</f>
        <v>6151145.8169663269</v>
      </c>
      <c r="E20" s="221">
        <f t="shared" si="9"/>
        <v>6683118.9629579186</v>
      </c>
      <c r="F20" s="221">
        <f t="shared" si="9"/>
        <v>6664127.8821271332</v>
      </c>
      <c r="G20" s="221">
        <f t="shared" si="9"/>
        <v>6667680.9453699328</v>
      </c>
      <c r="H20" s="221">
        <f t="shared" si="9"/>
        <v>6671229.3002558649</v>
      </c>
      <c r="I20" s="222">
        <f t="shared" si="9"/>
        <v>6674772.9627544321</v>
      </c>
      <c r="J20"/>
      <c r="K20" s="223">
        <f t="shared" si="5"/>
        <v>6235156.1720819548</v>
      </c>
      <c r="L20" s="224">
        <f t="shared" si="6"/>
        <v>6672186.0106930565</v>
      </c>
      <c r="M20" s="221">
        <f t="shared" si="7"/>
        <v>6547320.3425184553</v>
      </c>
      <c r="N20" s="224">
        <f t="shared" si="8"/>
        <v>45831242.397629187</v>
      </c>
      <c r="O20" s="162"/>
      <c r="P20" s="188"/>
    </row>
    <row r="21" spans="1:16" x14ac:dyDescent="0.35">
      <c r="A21" s="32" t="s">
        <v>3</v>
      </c>
      <c r="B21" s="8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82">
        <v>0</v>
      </c>
      <c r="J21"/>
      <c r="K21" s="206">
        <f t="shared" si="5"/>
        <v>0</v>
      </c>
      <c r="L21" s="14">
        <f t="shared" si="6"/>
        <v>0</v>
      </c>
      <c r="M21" s="212">
        <f t="shared" si="7"/>
        <v>0</v>
      </c>
      <c r="N21" s="14">
        <f t="shared" si="8"/>
        <v>0</v>
      </c>
      <c r="O21" s="162"/>
      <c r="P21" s="187"/>
    </row>
    <row r="22" spans="1:16" x14ac:dyDescent="0.35">
      <c r="A22" s="25" t="s">
        <v>166</v>
      </c>
      <c r="B22" s="12"/>
      <c r="C22" s="13">
        <v>774008.21847757488</v>
      </c>
      <c r="D22" s="13">
        <v>778282.80198092654</v>
      </c>
      <c r="E22" s="13">
        <v>839036.70574317116</v>
      </c>
      <c r="F22" s="13">
        <v>836061.69942632387</v>
      </c>
      <c r="G22" s="13">
        <v>836363.17974675354</v>
      </c>
      <c r="H22" s="13">
        <v>836663.97313699906</v>
      </c>
      <c r="I22" s="157">
        <v>836964.08192739077</v>
      </c>
      <c r="J22"/>
      <c r="K22" s="206">
        <f t="shared" si="5"/>
        <v>776145.51022925065</v>
      </c>
      <c r="L22" s="14">
        <f t="shared" si="6"/>
        <v>837017.92799612763</v>
      </c>
      <c r="M22" s="212">
        <f t="shared" si="7"/>
        <v>819625.80863416276</v>
      </c>
      <c r="N22" s="14">
        <f t="shared" si="8"/>
        <v>5737380.6604391392</v>
      </c>
      <c r="O22" s="162"/>
      <c r="P22" s="187" t="s">
        <v>311</v>
      </c>
    </row>
    <row r="23" spans="1:16" x14ac:dyDescent="0.35">
      <c r="A23" s="25" t="s">
        <v>4</v>
      </c>
      <c r="B23" s="12"/>
      <c r="C23" s="13">
        <v>406372.47338266455</v>
      </c>
      <c r="D23" s="13">
        <v>408595.24311145511</v>
      </c>
      <c r="E23" s="13">
        <v>440507.12002374209</v>
      </c>
      <c r="F23" s="13">
        <v>438959.62969349674</v>
      </c>
      <c r="G23" s="13">
        <v>439119.64629185392</v>
      </c>
      <c r="H23" s="13">
        <v>439279.29798020411</v>
      </c>
      <c r="I23" s="157">
        <v>439438.58599781478</v>
      </c>
      <c r="J23"/>
      <c r="K23" s="206">
        <f t="shared" si="5"/>
        <v>407483.85824705986</v>
      </c>
      <c r="L23" s="14">
        <f t="shared" si="6"/>
        <v>439460.85599742236</v>
      </c>
      <c r="M23" s="212">
        <f t="shared" si="7"/>
        <v>430324.57092589018</v>
      </c>
      <c r="N23" s="14">
        <f t="shared" si="8"/>
        <v>3012271.9964812314</v>
      </c>
      <c r="O23" s="162"/>
      <c r="P23" s="187" t="s">
        <v>311</v>
      </c>
    </row>
    <row r="24" spans="1:16" x14ac:dyDescent="0.35">
      <c r="A24" s="25" t="s">
        <v>5</v>
      </c>
      <c r="B24" s="12"/>
      <c r="C24" s="13">
        <v>354719.76643276383</v>
      </c>
      <c r="D24" s="13">
        <v>164457.50330049309</v>
      </c>
      <c r="E24" s="13">
        <v>182256.35829307738</v>
      </c>
      <c r="F24" s="13">
        <v>179342.45411165064</v>
      </c>
      <c r="G24" s="13">
        <v>179660.43083832564</v>
      </c>
      <c r="H24" s="13">
        <v>179978.44304059824</v>
      </c>
      <c r="I24" s="157">
        <v>180296.49059396671</v>
      </c>
      <c r="J24"/>
      <c r="K24" s="206">
        <f t="shared" si="5"/>
        <v>259588.63486662845</v>
      </c>
      <c r="L24" s="14">
        <f t="shared" si="6"/>
        <v>180306.83537552372</v>
      </c>
      <c r="M24" s="212">
        <f t="shared" si="7"/>
        <v>202958.77808726794</v>
      </c>
      <c r="N24" s="14">
        <f t="shared" si="8"/>
        <v>1420711.4466108757</v>
      </c>
      <c r="O24" s="162"/>
      <c r="P24" s="187" t="s">
        <v>314</v>
      </c>
    </row>
    <row r="25" spans="1:16" x14ac:dyDescent="0.35">
      <c r="A25" s="25" t="s">
        <v>176</v>
      </c>
      <c r="B25" s="12"/>
      <c r="C25" s="13">
        <v>3249761.7779771066</v>
      </c>
      <c r="D25" s="13">
        <v>3267537.2735606031</v>
      </c>
      <c r="E25" s="13">
        <v>3568584.2539535305</v>
      </c>
      <c r="F25" s="13">
        <v>3556047.9080589144</v>
      </c>
      <c r="G25" s="13">
        <v>3557344.2156265154</v>
      </c>
      <c r="H25" s="13">
        <v>3558637.5670282645</v>
      </c>
      <c r="I25" s="157">
        <v>3559927.9723035721</v>
      </c>
      <c r="J25"/>
      <c r="K25" s="206">
        <f t="shared" si="5"/>
        <v>3258649.5257688547</v>
      </c>
      <c r="L25" s="14">
        <f t="shared" si="6"/>
        <v>3560108.3833941594</v>
      </c>
      <c r="M25" s="212">
        <f t="shared" si="7"/>
        <v>3473977.281215501</v>
      </c>
      <c r="N25" s="14">
        <f t="shared" si="8"/>
        <v>24317840.968508508</v>
      </c>
      <c r="O25" s="162"/>
      <c r="P25" s="187" t="s">
        <v>313</v>
      </c>
    </row>
    <row r="26" spans="1:16" x14ac:dyDescent="0.35">
      <c r="A26" s="25" t="s">
        <v>182</v>
      </c>
      <c r="B26" s="12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57">
        <v>0</v>
      </c>
      <c r="J26"/>
      <c r="K26" s="206">
        <f t="shared" si="5"/>
        <v>0</v>
      </c>
      <c r="L26" s="14">
        <f t="shared" si="6"/>
        <v>0</v>
      </c>
      <c r="M26" s="212">
        <f t="shared" si="7"/>
        <v>0</v>
      </c>
      <c r="N26" s="14">
        <f t="shared" si="8"/>
        <v>0</v>
      </c>
      <c r="O26" s="162"/>
      <c r="P26" s="187"/>
    </row>
    <row r="27" spans="1:16" x14ac:dyDescent="0.35">
      <c r="A27" s="25" t="s">
        <v>6</v>
      </c>
      <c r="B27" s="12"/>
      <c r="C27" s="13">
        <v>832953.68265813519</v>
      </c>
      <c r="D27" s="13">
        <v>837283.15933837323</v>
      </c>
      <c r="E27" s="13">
        <v>903784.52650193381</v>
      </c>
      <c r="F27" s="13">
        <v>900757.11267105769</v>
      </c>
      <c r="G27" s="13">
        <v>901104.48071636073</v>
      </c>
      <c r="H27" s="13">
        <v>901451.11384592857</v>
      </c>
      <c r="I27" s="157">
        <v>901797.01455529965</v>
      </c>
      <c r="J27"/>
      <c r="K27" s="206">
        <f t="shared" si="5"/>
        <v>835118.42099825421</v>
      </c>
      <c r="L27" s="14">
        <f t="shared" si="6"/>
        <v>901778.84965811612</v>
      </c>
      <c r="M27" s="212">
        <f t="shared" si="7"/>
        <v>882733.01289815549</v>
      </c>
      <c r="N27" s="14">
        <f t="shared" si="8"/>
        <v>6179131.0902870884</v>
      </c>
      <c r="O27" s="162"/>
      <c r="P27" s="187" t="s">
        <v>314</v>
      </c>
    </row>
    <row r="28" spans="1:16" x14ac:dyDescent="0.35">
      <c r="A28" s="25" t="s">
        <v>196</v>
      </c>
      <c r="B28" s="12"/>
      <c r="C28" s="13">
        <v>701350.6082693371</v>
      </c>
      <c r="D28" s="13">
        <v>694989.83567447634</v>
      </c>
      <c r="E28" s="13">
        <v>748949.99844246404</v>
      </c>
      <c r="F28" s="13">
        <v>752959.07816568972</v>
      </c>
      <c r="G28" s="13">
        <v>754088.99215012393</v>
      </c>
      <c r="H28" s="13">
        <v>755218.90522387112</v>
      </c>
      <c r="I28" s="157">
        <v>756348.81737638859</v>
      </c>
      <c r="J28"/>
      <c r="K28" s="206">
        <f t="shared" si="5"/>
        <v>698170.22197190672</v>
      </c>
      <c r="L28" s="14">
        <f t="shared" si="6"/>
        <v>753513.15827170748</v>
      </c>
      <c r="M28" s="212">
        <f t="shared" si="7"/>
        <v>737700.89075747877</v>
      </c>
      <c r="N28" s="14">
        <f t="shared" si="8"/>
        <v>5163906.2353023514</v>
      </c>
      <c r="O28" s="162"/>
      <c r="P28" s="187"/>
    </row>
    <row r="29" spans="1:16" x14ac:dyDescent="0.35">
      <c r="A29" s="96" t="s">
        <v>185</v>
      </c>
      <c r="B29" s="57"/>
      <c r="C29" s="60">
        <f>C16+C20</f>
        <v>12858967.092802739</v>
      </c>
      <c r="D29" s="19">
        <f t="shared" ref="D29:I29" si="10">D16+D20</f>
        <v>12740469.366529001</v>
      </c>
      <c r="E29" s="19">
        <f t="shared" si="10"/>
        <v>13729600.885434907</v>
      </c>
      <c r="F29" s="19">
        <f t="shared" si="10"/>
        <v>13804334.369303171</v>
      </c>
      <c r="G29" s="19">
        <f t="shared" si="10"/>
        <v>13825207.903428171</v>
      </c>
      <c r="H29" s="19">
        <f t="shared" si="10"/>
        <v>13846081.536532979</v>
      </c>
      <c r="I29" s="35">
        <f t="shared" si="10"/>
        <v>13866955.268029116</v>
      </c>
      <c r="J29"/>
      <c r="K29" s="60">
        <f t="shared" ref="K29:N29" si="11">K16+K20</f>
        <v>12799718.22966587</v>
      </c>
      <c r="L29" s="20">
        <f t="shared" si="11"/>
        <v>13814435.99254567</v>
      </c>
      <c r="M29" s="35">
        <f t="shared" si="11"/>
        <v>13524516.631722867</v>
      </c>
      <c r="N29" s="20">
        <f t="shared" si="11"/>
        <v>94671616.422060072</v>
      </c>
      <c r="O29" s="162"/>
      <c r="P29" s="188"/>
    </row>
    <row r="30" spans="1:16" x14ac:dyDescent="0.35">
      <c r="C30" s="167"/>
      <c r="D30" s="167"/>
      <c r="E30" s="167"/>
      <c r="F30" s="167"/>
      <c r="G30" s="167"/>
      <c r="H30" s="167"/>
      <c r="I30" s="167"/>
      <c r="J30"/>
      <c r="K30" s="167"/>
      <c r="L30" s="167"/>
      <c r="M30" s="167"/>
    </row>
    <row r="33" spans="3:13" x14ac:dyDescent="0.35">
      <c r="C33" s="167"/>
      <c r="D33" s="167"/>
      <c r="E33" s="167"/>
      <c r="F33" s="167"/>
      <c r="G33" s="167"/>
      <c r="H33" s="167"/>
      <c r="I33" s="167"/>
      <c r="J33"/>
      <c r="K33" s="167"/>
      <c r="L33" s="167"/>
      <c r="M33" s="167"/>
    </row>
    <row r="35" spans="3:13" x14ac:dyDescent="0.35"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</row>
  </sheetData>
  <mergeCells count="7">
    <mergeCell ref="P5:P6"/>
    <mergeCell ref="P14:P15"/>
    <mergeCell ref="A1:N1"/>
    <mergeCell ref="A5:A6"/>
    <mergeCell ref="B5:B6"/>
    <mergeCell ref="A14:A15"/>
    <mergeCell ref="B14:B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copies="2" r:id="rId1"/>
  <headerFooter>
    <oddHeader>&amp;L&amp;F&amp;R&amp;A</oddHeader>
    <oddFooter>&amp;L&amp;D&amp;C&amp;P/&amp;N&amp;R&amp;T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8"/>
    <pageSetUpPr fitToPage="1"/>
  </sheetPr>
  <dimension ref="A1:O56"/>
  <sheetViews>
    <sheetView showGridLines="0" view="pageBreakPreview" zoomScale="85" zoomScaleNormal="100" zoomScaleSheetLayoutView="85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sqref="A1:J1"/>
    </sheetView>
  </sheetViews>
  <sheetFormatPr baseColWidth="10" defaultColWidth="11.26953125" defaultRowHeight="13" x14ac:dyDescent="0.3"/>
  <cols>
    <col min="1" max="1" width="51" style="2" bestFit="1" customWidth="1"/>
    <col min="2" max="8" width="12.453125" style="2" customWidth="1"/>
    <col min="9" max="9" width="13.81640625" style="2" bestFit="1" customWidth="1"/>
    <col min="10" max="10" width="14" style="2" bestFit="1" customWidth="1"/>
    <col min="11" max="11" width="12.54296875" style="2" bestFit="1" customWidth="1"/>
    <col min="12" max="12" width="11.54296875" style="2" bestFit="1" customWidth="1"/>
    <col min="13" max="16384" width="11.26953125" style="2"/>
  </cols>
  <sheetData>
    <row r="1" spans="1:13" ht="30" customHeight="1" x14ac:dyDescent="0.3">
      <c r="A1" s="718" t="s">
        <v>519</v>
      </c>
      <c r="B1" s="719"/>
      <c r="C1" s="719"/>
      <c r="D1" s="719"/>
      <c r="E1" s="719"/>
      <c r="F1" s="719"/>
      <c r="G1" s="719"/>
      <c r="H1" s="719"/>
      <c r="I1" s="719"/>
      <c r="J1" s="720"/>
      <c r="K1" s="1"/>
    </row>
    <row r="3" spans="1:13" ht="26" x14ac:dyDescent="0.3">
      <c r="A3" s="693" t="s">
        <v>520</v>
      </c>
      <c r="B3" s="678" t="s">
        <v>0</v>
      </c>
      <c r="C3" s="3">
        <f>Annee</f>
        <v>2024</v>
      </c>
      <c r="D3" s="291">
        <f>C3+1</f>
        <v>2025</v>
      </c>
      <c r="E3" s="291">
        <f t="shared" ref="E3:G3" si="0">D3+1</f>
        <v>2026</v>
      </c>
      <c r="F3" s="291">
        <f t="shared" si="0"/>
        <v>2027</v>
      </c>
      <c r="G3" s="291">
        <f t="shared" si="0"/>
        <v>2028</v>
      </c>
      <c r="H3" s="295">
        <f>G3+1</f>
        <v>2029</v>
      </c>
      <c r="I3" s="179" t="s">
        <v>271</v>
      </c>
      <c r="J3" s="4" t="s">
        <v>62</v>
      </c>
    </row>
    <row r="4" spans="1:13" x14ac:dyDescent="0.3">
      <c r="A4" s="692"/>
      <c r="B4" s="679"/>
      <c r="C4" s="267">
        <v>12</v>
      </c>
      <c r="D4" s="77">
        <v>12</v>
      </c>
      <c r="E4" s="77">
        <v>12</v>
      </c>
      <c r="F4" s="77">
        <v>12</v>
      </c>
      <c r="G4" s="77">
        <v>12</v>
      </c>
      <c r="H4" s="181">
        <v>12</v>
      </c>
      <c r="I4" s="78">
        <f t="shared" ref="I4:I55" si="1">IFERROR(AVERAGE(C4:H4),0)</f>
        <v>12</v>
      </c>
      <c r="J4" s="78">
        <f t="shared" ref="J4:J55" si="2">SUM(C4:H4)</f>
        <v>72</v>
      </c>
    </row>
    <row r="5" spans="1:13" x14ac:dyDescent="0.3">
      <c r="A5" s="25" t="s">
        <v>142</v>
      </c>
      <c r="B5" s="93"/>
      <c r="C5" s="280">
        <f>'2. CEP offre de base'!C38</f>
        <v>79887999.627856642</v>
      </c>
      <c r="D5" s="281">
        <f>'2. CEP offre de base'!D38</f>
        <v>80353665.918026775</v>
      </c>
      <c r="E5" s="281">
        <f>'2. CEP offre de base'!E38</f>
        <v>80823397.655726463</v>
      </c>
      <c r="F5" s="281">
        <f>'2. CEP offre de base'!F38</f>
        <v>81200373.884177923</v>
      </c>
      <c r="G5" s="281">
        <f>'2. CEP offre de base'!G38</f>
        <v>81659176.533649892</v>
      </c>
      <c r="H5" s="282">
        <f>'2. CEP offre de base'!H38</f>
        <v>82395758.028011411</v>
      </c>
      <c r="I5" s="442">
        <f t="shared" si="1"/>
        <v>81053395.274574861</v>
      </c>
      <c r="J5" s="443">
        <f t="shared" si="2"/>
        <v>486320371.64744914</v>
      </c>
    </row>
    <row r="6" spans="1:13" s="89" customFormat="1" x14ac:dyDescent="0.3">
      <c r="A6" s="448" t="s">
        <v>143</v>
      </c>
      <c r="B6" s="449"/>
      <c r="C6" s="450">
        <f>C5</f>
        <v>79887999.627856642</v>
      </c>
      <c r="D6" s="451">
        <f t="shared" ref="D6:H6" si="3">D5</f>
        <v>80353665.918026775</v>
      </c>
      <c r="E6" s="451">
        <f t="shared" si="3"/>
        <v>80823397.655726463</v>
      </c>
      <c r="F6" s="451">
        <f t="shared" si="3"/>
        <v>81200373.884177923</v>
      </c>
      <c r="G6" s="451">
        <f t="shared" si="3"/>
        <v>81659176.533649892</v>
      </c>
      <c r="H6" s="452">
        <f t="shared" si="3"/>
        <v>82395758.028011411</v>
      </c>
      <c r="I6" s="453">
        <f t="shared" si="1"/>
        <v>81053395.274574861</v>
      </c>
      <c r="J6" s="454">
        <f t="shared" si="2"/>
        <v>486320371.64744914</v>
      </c>
      <c r="K6" s="544"/>
      <c r="L6" s="166"/>
    </row>
    <row r="7" spans="1:13" x14ac:dyDescent="0.3">
      <c r="A7" s="21" t="s">
        <v>144</v>
      </c>
      <c r="B7" s="455"/>
      <c r="C7" s="456">
        <f>SUM(C8:C12)</f>
        <v>6899945.5360812088</v>
      </c>
      <c r="D7" s="446">
        <f t="shared" ref="D7:H7" si="4">SUM(D8:D12)</f>
        <v>6954866.3500834415</v>
      </c>
      <c r="E7" s="446">
        <f t="shared" si="4"/>
        <v>6834773.3735650582</v>
      </c>
      <c r="F7" s="446">
        <f t="shared" si="4"/>
        <v>6996348.4275143929</v>
      </c>
      <c r="G7" s="446">
        <f t="shared" si="4"/>
        <v>6795737.3491596086</v>
      </c>
      <c r="H7" s="457">
        <f t="shared" si="4"/>
        <v>7217837.3232274372</v>
      </c>
      <c r="I7" s="446">
        <f t="shared" si="1"/>
        <v>6949918.0599385239</v>
      </c>
      <c r="J7" s="447">
        <f t="shared" si="2"/>
        <v>41699508.359631144</v>
      </c>
    </row>
    <row r="8" spans="1:13" x14ac:dyDescent="0.3">
      <c r="A8" s="169" t="s">
        <v>141</v>
      </c>
      <c r="B8" s="93"/>
      <c r="C8" s="464">
        <v>3502337.6899362956</v>
      </c>
      <c r="D8" s="465">
        <v>3158814.2954099551</v>
      </c>
      <c r="E8" s="465">
        <v>2961695.1101710773</v>
      </c>
      <c r="F8" s="465">
        <v>2783377.1656379029</v>
      </c>
      <c r="G8" s="465">
        <v>2624986.1064519822</v>
      </c>
      <c r="H8" s="466">
        <v>2467812.7320011701</v>
      </c>
      <c r="I8" s="286">
        <f t="shared" si="1"/>
        <v>2916503.8499347307</v>
      </c>
      <c r="J8" s="444">
        <f t="shared" si="2"/>
        <v>17499023.099608384</v>
      </c>
      <c r="L8" s="166"/>
    </row>
    <row r="9" spans="1:13" x14ac:dyDescent="0.3">
      <c r="A9" s="169" t="s">
        <v>140</v>
      </c>
      <c r="B9" s="93"/>
      <c r="C9" s="464">
        <v>1636755.745411115</v>
      </c>
      <c r="D9" s="465">
        <v>1748480.0386797597</v>
      </c>
      <c r="E9" s="465">
        <v>1696984.8361448264</v>
      </c>
      <c r="F9" s="465">
        <v>1952732.1810411231</v>
      </c>
      <c r="G9" s="465">
        <v>1798629.2431599603</v>
      </c>
      <c r="H9" s="466">
        <v>2279137.2016199669</v>
      </c>
      <c r="I9" s="287">
        <f t="shared" si="1"/>
        <v>1852119.8743427917</v>
      </c>
      <c r="J9" s="444">
        <f t="shared" si="2"/>
        <v>11112719.24605675</v>
      </c>
      <c r="L9" s="166"/>
      <c r="M9" s="166"/>
    </row>
    <row r="10" spans="1:13" x14ac:dyDescent="0.3">
      <c r="A10" s="169" t="s">
        <v>145</v>
      </c>
      <c r="B10" s="93"/>
      <c r="C10" s="464">
        <v>656621.10073379811</v>
      </c>
      <c r="D10" s="462">
        <v>870141.01599372644</v>
      </c>
      <c r="E10" s="462">
        <v>992662.42724915466</v>
      </c>
      <c r="F10" s="462">
        <v>1080808.0808353662</v>
      </c>
      <c r="G10" s="462">
        <v>1194690.9995476657</v>
      </c>
      <c r="H10" s="463">
        <v>1291456.3896063003</v>
      </c>
      <c r="I10" s="287">
        <f t="shared" si="1"/>
        <v>1014396.6689943351</v>
      </c>
      <c r="J10" s="444">
        <f t="shared" si="2"/>
        <v>6086380.0139660109</v>
      </c>
      <c r="L10" s="166"/>
    </row>
    <row r="11" spans="1:13" x14ac:dyDescent="0.3">
      <c r="A11" s="169" t="s">
        <v>146</v>
      </c>
      <c r="B11" s="93"/>
      <c r="C11" s="461">
        <v>0</v>
      </c>
      <c r="D11" s="462">
        <v>0</v>
      </c>
      <c r="E11" s="462">
        <v>0</v>
      </c>
      <c r="F11" s="462">
        <v>0</v>
      </c>
      <c r="G11" s="462">
        <v>0</v>
      </c>
      <c r="H11" s="463">
        <v>0</v>
      </c>
      <c r="I11" s="287">
        <f t="shared" si="1"/>
        <v>0</v>
      </c>
      <c r="J11" s="444">
        <f t="shared" si="2"/>
        <v>0</v>
      </c>
    </row>
    <row r="12" spans="1:13" x14ac:dyDescent="0.3">
      <c r="A12" s="169" t="s">
        <v>139</v>
      </c>
      <c r="B12" s="93"/>
      <c r="C12" s="461">
        <v>1104231</v>
      </c>
      <c r="D12" s="462">
        <v>1177431</v>
      </c>
      <c r="E12" s="462">
        <v>1183431</v>
      </c>
      <c r="F12" s="462">
        <v>1179431</v>
      </c>
      <c r="G12" s="462">
        <v>1177431</v>
      </c>
      <c r="H12" s="463">
        <v>1179431</v>
      </c>
      <c r="I12" s="287">
        <f t="shared" si="1"/>
        <v>1166897.6666666667</v>
      </c>
      <c r="J12" s="444">
        <f t="shared" si="2"/>
        <v>7001386</v>
      </c>
    </row>
    <row r="13" spans="1:13" x14ac:dyDescent="0.3">
      <c r="A13" s="21" t="s">
        <v>154</v>
      </c>
      <c r="B13" s="455"/>
      <c r="C13" s="456">
        <f>SUM(C14:C23)</f>
        <v>36050950.444780461</v>
      </c>
      <c r="D13" s="446">
        <f t="shared" ref="D13:H13" si="5">SUM(D14:D23)</f>
        <v>36290552.702428289</v>
      </c>
      <c r="E13" s="446">
        <f t="shared" si="5"/>
        <v>36605109.572844297</v>
      </c>
      <c r="F13" s="446">
        <f t="shared" si="5"/>
        <v>36780697.038258411</v>
      </c>
      <c r="G13" s="446">
        <f t="shared" si="5"/>
        <v>37184516.097268298</v>
      </c>
      <c r="H13" s="457">
        <f t="shared" si="5"/>
        <v>37499096.308569349</v>
      </c>
      <c r="I13" s="446">
        <f t="shared" si="1"/>
        <v>36735153.694024846</v>
      </c>
      <c r="J13" s="447">
        <f t="shared" si="2"/>
        <v>220410922.16414908</v>
      </c>
    </row>
    <row r="14" spans="1:13" x14ac:dyDescent="0.3">
      <c r="A14" s="36" t="s">
        <v>138</v>
      </c>
      <c r="B14" s="268"/>
      <c r="C14" s="465">
        <v>225315.00646215258</v>
      </c>
      <c r="D14" s="465">
        <v>221922.01203749602</v>
      </c>
      <c r="E14" s="465">
        <v>221922.01203749602</v>
      </c>
      <c r="F14" s="465">
        <v>221922.01203749602</v>
      </c>
      <c r="G14" s="465">
        <v>221922.01203749602</v>
      </c>
      <c r="H14" s="466">
        <v>221922.01203749602</v>
      </c>
      <c r="I14" s="286">
        <f t="shared" si="1"/>
        <v>222487.51110827213</v>
      </c>
      <c r="J14" s="444">
        <f t="shared" si="2"/>
        <v>1334925.0666496328</v>
      </c>
    </row>
    <row r="15" spans="1:13" x14ac:dyDescent="0.3">
      <c r="A15" s="36" t="s">
        <v>137</v>
      </c>
      <c r="B15" s="268"/>
      <c r="C15" s="465">
        <f>'6. SousTraitance'!C39</f>
        <v>31685939.82364222</v>
      </c>
      <c r="D15" s="465">
        <f>'6. SousTraitance'!D39</f>
        <v>31911083.884171225</v>
      </c>
      <c r="E15" s="465">
        <f>'6. SousTraitance'!E39</f>
        <v>32230365.878816627</v>
      </c>
      <c r="F15" s="465">
        <f>'6. SousTraitance'!F39</f>
        <v>32344069.587213431</v>
      </c>
      <c r="G15" s="465">
        <f>'6. SousTraitance'!G39</f>
        <v>32779805.19528617</v>
      </c>
      <c r="H15" s="466">
        <f>'6. SousTraitance'!H39</f>
        <v>32964952.150321636</v>
      </c>
      <c r="I15" s="286">
        <f>IFERROR(AVERAGE(C15:H15),0)</f>
        <v>32319369.41990855</v>
      </c>
      <c r="J15" s="444">
        <f t="shared" si="2"/>
        <v>193916216.51945129</v>
      </c>
    </row>
    <row r="16" spans="1:13" x14ac:dyDescent="0.3">
      <c r="A16" s="36" t="s">
        <v>136</v>
      </c>
      <c r="B16" s="268"/>
      <c r="C16" s="465">
        <v>757651.34098360664</v>
      </c>
      <c r="D16" s="465">
        <v>757648.58082191786</v>
      </c>
      <c r="E16" s="465">
        <v>757647.18356164393</v>
      </c>
      <c r="F16" s="465">
        <v>757642.99178082193</v>
      </c>
      <c r="G16" s="465">
        <v>757644.3737704918</v>
      </c>
      <c r="H16" s="466">
        <v>757791.8</v>
      </c>
      <c r="I16" s="286">
        <f t="shared" si="1"/>
        <v>757671.04515308037</v>
      </c>
      <c r="J16" s="444">
        <f t="shared" si="2"/>
        <v>4546026.270918482</v>
      </c>
    </row>
    <row r="17" spans="1:12" x14ac:dyDescent="0.3">
      <c r="A17" s="644" t="s">
        <v>460</v>
      </c>
      <c r="B17" s="269"/>
      <c r="C17" s="465">
        <v>45000</v>
      </c>
      <c r="D17" s="465">
        <v>45000</v>
      </c>
      <c r="E17" s="465">
        <v>45000</v>
      </c>
      <c r="F17" s="465">
        <v>45000</v>
      </c>
      <c r="G17" s="465">
        <v>45000</v>
      </c>
      <c r="H17" s="466">
        <v>45000</v>
      </c>
      <c r="I17" s="286">
        <f t="shared" si="1"/>
        <v>45000</v>
      </c>
      <c r="J17" s="444">
        <f t="shared" si="2"/>
        <v>270000</v>
      </c>
    </row>
    <row r="18" spans="1:12" x14ac:dyDescent="0.3">
      <c r="A18" s="644" t="s">
        <v>135</v>
      </c>
      <c r="B18" s="269"/>
      <c r="C18" s="465">
        <v>872325.82423846889</v>
      </c>
      <c r="D18" s="465">
        <v>895027.02882774861</v>
      </c>
      <c r="E18" s="465">
        <v>886950.76119466522</v>
      </c>
      <c r="F18" s="465">
        <v>946855.13954210631</v>
      </c>
      <c r="G18" s="465">
        <v>913007.14582699933</v>
      </c>
      <c r="H18" s="466">
        <v>1038689.2670521223</v>
      </c>
      <c r="I18" s="286">
        <f t="shared" si="1"/>
        <v>925475.86111368518</v>
      </c>
      <c r="J18" s="444">
        <f t="shared" si="2"/>
        <v>5552855.1666821111</v>
      </c>
      <c r="L18" s="166"/>
    </row>
    <row r="19" spans="1:12" x14ac:dyDescent="0.3">
      <c r="A19" s="644" t="s">
        <v>333</v>
      </c>
      <c r="B19" s="269"/>
      <c r="C19" s="465">
        <f>'4b'!C114+'4b'!C123</f>
        <v>650601.96721311484</v>
      </c>
      <c r="D19" s="465">
        <f>'4b'!D114+'4b'!D123</f>
        <v>650561.91780821921</v>
      </c>
      <c r="E19" s="465">
        <f>'4b'!E114+'4b'!E123</f>
        <v>650541.64383561665</v>
      </c>
      <c r="F19" s="465">
        <f>'4b'!F114+'4b'!F123</f>
        <v>650468.49315068498</v>
      </c>
      <c r="G19" s="465">
        <f>'4b'!G114+'4b'!G123</f>
        <v>650500.87431693997</v>
      </c>
      <c r="H19" s="466">
        <f>'4b'!H114+'4b'!H123</f>
        <v>652635.89041095902</v>
      </c>
      <c r="I19" s="286">
        <f t="shared" si="1"/>
        <v>650885.13112258911</v>
      </c>
      <c r="J19" s="444">
        <f t="shared" si="2"/>
        <v>3905310.7867355347</v>
      </c>
    </row>
    <row r="20" spans="1:12" x14ac:dyDescent="0.3">
      <c r="A20" s="644" t="s">
        <v>134</v>
      </c>
      <c r="B20" s="269"/>
      <c r="C20" s="465">
        <v>125693.40111999999</v>
      </c>
      <c r="D20" s="465">
        <v>125693.40111999999</v>
      </c>
      <c r="E20" s="465">
        <v>125693.40111999999</v>
      </c>
      <c r="F20" s="465">
        <v>125693.40111999999</v>
      </c>
      <c r="G20" s="465">
        <v>125693.40111999999</v>
      </c>
      <c r="H20" s="466">
        <v>125693.40111999999</v>
      </c>
      <c r="I20" s="286">
        <f t="shared" si="1"/>
        <v>125693.40112000001</v>
      </c>
      <c r="J20" s="444">
        <f t="shared" si="2"/>
        <v>754160.40672000009</v>
      </c>
    </row>
    <row r="21" spans="1:12" x14ac:dyDescent="0.3">
      <c r="A21" s="644" t="s">
        <v>133</v>
      </c>
      <c r="B21" s="269"/>
      <c r="C21" s="465">
        <v>136585.57756088316</v>
      </c>
      <c r="D21" s="465">
        <v>136577.74724839657</v>
      </c>
      <c r="E21" s="465">
        <v>136573.78335576848</v>
      </c>
      <c r="F21" s="465">
        <v>136561.89167788427</v>
      </c>
      <c r="G21" s="465">
        <v>136565.81224928139</v>
      </c>
      <c r="H21" s="466">
        <v>136984.04624277458</v>
      </c>
      <c r="I21" s="286">
        <f t="shared" si="1"/>
        <v>136641.47638916475</v>
      </c>
      <c r="J21" s="444">
        <f t="shared" si="2"/>
        <v>819848.85833498847</v>
      </c>
    </row>
    <row r="22" spans="1:12" x14ac:dyDescent="0.3">
      <c r="A22" s="644" t="s">
        <v>132</v>
      </c>
      <c r="B22" s="269"/>
      <c r="C22" s="465">
        <v>207503.75657464541</v>
      </c>
      <c r="D22" s="465">
        <v>207503.75657464541</v>
      </c>
      <c r="E22" s="465">
        <v>207503.75657464541</v>
      </c>
      <c r="F22" s="465">
        <v>207503.75657464541</v>
      </c>
      <c r="G22" s="465">
        <v>207503.75657464541</v>
      </c>
      <c r="H22" s="466">
        <v>207503.75657464541</v>
      </c>
      <c r="I22" s="286">
        <f t="shared" si="1"/>
        <v>207503.75657464541</v>
      </c>
      <c r="J22" s="444">
        <f t="shared" si="2"/>
        <v>1245022.5394478724</v>
      </c>
    </row>
    <row r="23" spans="1:12" x14ac:dyDescent="0.3">
      <c r="A23" s="644" t="s">
        <v>131</v>
      </c>
      <c r="B23" s="269"/>
      <c r="C23" s="465">
        <v>1344333.7469853638</v>
      </c>
      <c r="D23" s="465">
        <v>1339534.3738186432</v>
      </c>
      <c r="E23" s="465">
        <v>1342911.1523478341</v>
      </c>
      <c r="F23" s="465">
        <v>1344979.7651613348</v>
      </c>
      <c r="G23" s="465">
        <v>1346873.5260862729</v>
      </c>
      <c r="H23" s="466">
        <v>1347923.9848097211</v>
      </c>
      <c r="I23" s="286">
        <f t="shared" si="1"/>
        <v>1344426.0915348616</v>
      </c>
      <c r="J23" s="444">
        <f t="shared" si="2"/>
        <v>8066556.5492091691</v>
      </c>
    </row>
    <row r="24" spans="1:12" x14ac:dyDescent="0.3">
      <c r="A24" s="21" t="s">
        <v>155</v>
      </c>
      <c r="B24" s="455"/>
      <c r="C24" s="456">
        <f>SUM(C25:C33)</f>
        <v>5399059.2427860536</v>
      </c>
      <c r="D24" s="446">
        <f t="shared" ref="D24:H24" si="6">SUM(D25:D33)</f>
        <v>5203466.0641170265</v>
      </c>
      <c r="E24" s="446">
        <f t="shared" si="6"/>
        <v>5172571.2444748711</v>
      </c>
      <c r="F24" s="446">
        <f t="shared" si="6"/>
        <v>4940766.3573616194</v>
      </c>
      <c r="G24" s="446">
        <f t="shared" si="6"/>
        <v>4839505.4905926939</v>
      </c>
      <c r="H24" s="457">
        <f t="shared" si="6"/>
        <v>4636801.2403100822</v>
      </c>
      <c r="I24" s="446">
        <f t="shared" si="1"/>
        <v>5032028.2732737241</v>
      </c>
      <c r="J24" s="447">
        <f t="shared" si="2"/>
        <v>30192169.639642343</v>
      </c>
    </row>
    <row r="25" spans="1:12" x14ac:dyDescent="0.3">
      <c r="A25" s="169" t="s">
        <v>130</v>
      </c>
      <c r="B25" s="93"/>
      <c r="C25" s="464">
        <v>937957.16696078563</v>
      </c>
      <c r="D25" s="465">
        <v>837388.02811286226</v>
      </c>
      <c r="E25" s="465">
        <v>736491.31290079956</v>
      </c>
      <c r="F25" s="465">
        <v>616258.63617476285</v>
      </c>
      <c r="G25" s="465">
        <v>459374.40244841378</v>
      </c>
      <c r="H25" s="466">
        <v>272033.6431652052</v>
      </c>
      <c r="I25" s="286">
        <f t="shared" si="1"/>
        <v>643250.53162713826</v>
      </c>
      <c r="J25" s="444">
        <f t="shared" si="2"/>
        <v>3859503.1897628293</v>
      </c>
    </row>
    <row r="26" spans="1:12" x14ac:dyDescent="0.3">
      <c r="A26" s="25" t="s">
        <v>129</v>
      </c>
      <c r="B26" s="93"/>
      <c r="C26" s="464">
        <v>185210</v>
      </c>
      <c r="D26" s="465">
        <v>188738.14999999997</v>
      </c>
      <c r="E26" s="465">
        <v>192319.22224999993</v>
      </c>
      <c r="F26" s="465">
        <v>195954.01058374991</v>
      </c>
      <c r="G26" s="465">
        <v>199643.32074250613</v>
      </c>
      <c r="H26" s="466">
        <v>203387.97055364368</v>
      </c>
      <c r="I26" s="286">
        <f t="shared" si="1"/>
        <v>194208.77902164994</v>
      </c>
      <c r="J26" s="444">
        <f t="shared" si="2"/>
        <v>1165252.6741298996</v>
      </c>
    </row>
    <row r="27" spans="1:12" x14ac:dyDescent="0.3">
      <c r="A27" s="169" t="s">
        <v>47</v>
      </c>
      <c r="B27" s="244"/>
      <c r="C27" s="464">
        <v>1385188.5251626978</v>
      </c>
      <c r="D27" s="465">
        <v>1274592.8214406366</v>
      </c>
      <c r="E27" s="465">
        <v>1359237.5640115836</v>
      </c>
      <c r="F27" s="465">
        <v>1277856.2765699546</v>
      </c>
      <c r="G27" s="465">
        <v>1314379.0953607745</v>
      </c>
      <c r="H27" s="466">
        <v>1290103.3110532966</v>
      </c>
      <c r="I27" s="286">
        <f t="shared" si="1"/>
        <v>1316892.9322664905</v>
      </c>
      <c r="J27" s="444">
        <f t="shared" si="2"/>
        <v>7901357.5935989432</v>
      </c>
    </row>
    <row r="28" spans="1:12" x14ac:dyDescent="0.3">
      <c r="A28" s="169" t="s">
        <v>128</v>
      </c>
      <c r="B28" s="244"/>
      <c r="C28" s="465">
        <f>'5.Charges fixes'!C40</f>
        <v>1796153.5506625704</v>
      </c>
      <c r="D28" s="465">
        <f>'5.Charges fixes'!D40</f>
        <v>1808197.0645635275</v>
      </c>
      <c r="E28" s="465">
        <f>'5.Charges fixes'!E40</f>
        <v>1820223.1453124876</v>
      </c>
      <c r="F28" s="465">
        <f>'5.Charges fixes'!F40</f>
        <v>1830397.4340331517</v>
      </c>
      <c r="G28" s="465">
        <f>'5.Charges fixes'!G40</f>
        <v>1841808.6720409989</v>
      </c>
      <c r="H28" s="466">
        <f>'5.Charges fixes'!H40</f>
        <v>1861976.3155379363</v>
      </c>
      <c r="I28" s="286">
        <f t="shared" si="1"/>
        <v>1826459.3636917789</v>
      </c>
      <c r="J28" s="444">
        <f t="shared" si="2"/>
        <v>10958756.182150673</v>
      </c>
      <c r="K28" s="242"/>
    </row>
    <row r="29" spans="1:12" x14ac:dyDescent="0.3">
      <c r="A29" s="169" t="s">
        <v>127</v>
      </c>
      <c r="B29" s="244"/>
      <c r="C29" s="464">
        <v>610250</v>
      </c>
      <c r="D29" s="465">
        <v>610250</v>
      </c>
      <c r="E29" s="465">
        <v>584000</v>
      </c>
      <c r="F29" s="465">
        <v>576000</v>
      </c>
      <c r="G29" s="465">
        <v>584000</v>
      </c>
      <c r="H29" s="466">
        <v>573000</v>
      </c>
      <c r="I29" s="286">
        <f t="shared" si="1"/>
        <v>589583.33333333337</v>
      </c>
      <c r="J29" s="444">
        <f t="shared" si="2"/>
        <v>3537500</v>
      </c>
    </row>
    <row r="30" spans="1:12" x14ac:dyDescent="0.3">
      <c r="A30" s="169" t="s">
        <v>126</v>
      </c>
      <c r="B30" s="244"/>
      <c r="C30" s="464">
        <v>98600</v>
      </c>
      <c r="D30" s="465">
        <v>98600</v>
      </c>
      <c r="E30" s="465">
        <v>98600</v>
      </c>
      <c r="F30" s="465">
        <v>98600</v>
      </c>
      <c r="G30" s="465">
        <v>98600</v>
      </c>
      <c r="H30" s="466">
        <v>98600</v>
      </c>
      <c r="I30" s="286">
        <f t="shared" si="1"/>
        <v>98600</v>
      </c>
      <c r="J30" s="444">
        <f t="shared" si="2"/>
        <v>591600</v>
      </c>
    </row>
    <row r="31" spans="1:12" x14ac:dyDescent="0.3">
      <c r="A31" s="169" t="s">
        <v>125</v>
      </c>
      <c r="B31" s="244"/>
      <c r="C31" s="464">
        <v>1400</v>
      </c>
      <c r="D31" s="465">
        <v>1400</v>
      </c>
      <c r="E31" s="465">
        <v>1400</v>
      </c>
      <c r="F31" s="465">
        <v>1400</v>
      </c>
      <c r="G31" s="465">
        <v>1400</v>
      </c>
      <c r="H31" s="466">
        <v>1400</v>
      </c>
      <c r="I31" s="286">
        <f t="shared" si="1"/>
        <v>1400</v>
      </c>
      <c r="J31" s="444">
        <f t="shared" si="2"/>
        <v>8400</v>
      </c>
    </row>
    <row r="32" spans="1:12" x14ac:dyDescent="0.3">
      <c r="A32" s="169" t="s">
        <v>124</v>
      </c>
      <c r="B32" s="244"/>
      <c r="C32" s="464">
        <v>184300</v>
      </c>
      <c r="D32" s="465">
        <v>184300</v>
      </c>
      <c r="E32" s="465">
        <v>180300</v>
      </c>
      <c r="F32" s="465">
        <v>144300</v>
      </c>
      <c r="G32" s="465">
        <v>140300</v>
      </c>
      <c r="H32" s="466">
        <v>136300</v>
      </c>
      <c r="I32" s="286">
        <f t="shared" si="1"/>
        <v>161633.33333333334</v>
      </c>
      <c r="J32" s="444">
        <f t="shared" si="2"/>
        <v>969800</v>
      </c>
    </row>
    <row r="33" spans="1:15" x14ac:dyDescent="0.3">
      <c r="A33" s="169" t="s">
        <v>123</v>
      </c>
      <c r="B33" s="244"/>
      <c r="C33" s="464">
        <v>200000</v>
      </c>
      <c r="D33" s="465">
        <v>200000</v>
      </c>
      <c r="E33" s="465">
        <v>200000</v>
      </c>
      <c r="F33" s="465">
        <v>200000</v>
      </c>
      <c r="G33" s="465">
        <v>200000</v>
      </c>
      <c r="H33" s="466">
        <v>200000</v>
      </c>
      <c r="I33" s="286">
        <f t="shared" si="1"/>
        <v>200000</v>
      </c>
      <c r="J33" s="444">
        <f t="shared" si="2"/>
        <v>1200000</v>
      </c>
    </row>
    <row r="34" spans="1:15" s="89" customFormat="1" x14ac:dyDescent="0.35">
      <c r="A34" s="90" t="s">
        <v>156</v>
      </c>
      <c r="B34" s="92"/>
      <c r="C34" s="283">
        <f>C6-C7-C13-C24</f>
        <v>31538044.404208917</v>
      </c>
      <c r="D34" s="284">
        <f t="shared" ref="D34:H34" si="7">D6-D7-D13-D24</f>
        <v>31904780.80139802</v>
      </c>
      <c r="E34" s="284">
        <f t="shared" si="7"/>
        <v>32210943.46484223</v>
      </c>
      <c r="F34" s="284">
        <f t="shared" si="7"/>
        <v>32482562.061043505</v>
      </c>
      <c r="G34" s="284">
        <f t="shared" si="7"/>
        <v>32839417.596629284</v>
      </c>
      <c r="H34" s="285">
        <f t="shared" si="7"/>
        <v>33042023.155904546</v>
      </c>
      <c r="I34" s="288">
        <f t="shared" si="1"/>
        <v>32336295.247337747</v>
      </c>
      <c r="J34" s="445">
        <f t="shared" si="2"/>
        <v>194017771.48402649</v>
      </c>
    </row>
    <row r="35" spans="1:15" x14ac:dyDescent="0.3">
      <c r="A35" s="21" t="s">
        <v>157</v>
      </c>
      <c r="B35" s="455"/>
      <c r="C35" s="456">
        <f>SUM(C36:C38)</f>
        <v>904155.87259822222</v>
      </c>
      <c r="D35" s="446">
        <f t="shared" ref="D35:H35" si="8">SUM(D36:D38)</f>
        <v>912591.41293699958</v>
      </c>
      <c r="E35" s="446">
        <f t="shared" si="8"/>
        <v>920198.45124507044</v>
      </c>
      <c r="F35" s="446">
        <f t="shared" si="8"/>
        <v>926466.0737676057</v>
      </c>
      <c r="G35" s="446">
        <f t="shared" si="8"/>
        <v>935546.14092997881</v>
      </c>
      <c r="H35" s="457">
        <f t="shared" si="8"/>
        <v>945671.93889560504</v>
      </c>
      <c r="I35" s="446">
        <f t="shared" si="1"/>
        <v>924104.98172891361</v>
      </c>
      <c r="J35" s="447">
        <f t="shared" si="2"/>
        <v>5544629.8903734814</v>
      </c>
      <c r="K35" s="5"/>
    </row>
    <row r="36" spans="1:15" x14ac:dyDescent="0.3">
      <c r="A36" s="549" t="s">
        <v>122</v>
      </c>
      <c r="B36" s="93"/>
      <c r="C36" s="464">
        <v>745809.68061762583</v>
      </c>
      <c r="D36" s="465">
        <v>753499.8823285409</v>
      </c>
      <c r="E36" s="465">
        <v>760354.95975098026</v>
      </c>
      <c r="F36" s="465">
        <v>766019.28323999629</v>
      </c>
      <c r="G36" s="465">
        <v>774364.73498348321</v>
      </c>
      <c r="H36" s="466">
        <v>783311.77462297317</v>
      </c>
      <c r="I36" s="286">
        <f t="shared" si="1"/>
        <v>763893.38592393324</v>
      </c>
      <c r="J36" s="444">
        <f t="shared" si="2"/>
        <v>4583360.3155435994</v>
      </c>
      <c r="O36" s="166"/>
    </row>
    <row r="37" spans="1:15" x14ac:dyDescent="0.3">
      <c r="A37" s="548" t="s">
        <v>121</v>
      </c>
      <c r="B37" s="93"/>
      <c r="C37" s="464">
        <v>4926</v>
      </c>
      <c r="D37" s="465">
        <v>4926</v>
      </c>
      <c r="E37" s="465">
        <v>4926</v>
      </c>
      <c r="F37" s="465">
        <v>4926</v>
      </c>
      <c r="G37" s="465">
        <v>4926</v>
      </c>
      <c r="H37" s="466">
        <v>4926</v>
      </c>
      <c r="I37" s="286">
        <f t="shared" si="1"/>
        <v>4926</v>
      </c>
      <c r="J37" s="444">
        <f t="shared" si="2"/>
        <v>29556</v>
      </c>
    </row>
    <row r="38" spans="1:15" x14ac:dyDescent="0.3">
      <c r="A38" s="548" t="s">
        <v>90</v>
      </c>
      <c r="B38" s="93"/>
      <c r="C38" s="464">
        <v>153420.19198059634</v>
      </c>
      <c r="D38" s="465">
        <v>154165.53060845868</v>
      </c>
      <c r="E38" s="465">
        <v>154917.49149409024</v>
      </c>
      <c r="F38" s="465">
        <v>155520.79052760947</v>
      </c>
      <c r="G38" s="465">
        <v>156255.40594649554</v>
      </c>
      <c r="H38" s="466">
        <v>157434.16427263193</v>
      </c>
      <c r="I38" s="286">
        <f t="shared" si="1"/>
        <v>155285.59580498037</v>
      </c>
      <c r="J38" s="444">
        <f t="shared" si="2"/>
        <v>931713.57482988224</v>
      </c>
    </row>
    <row r="39" spans="1:15" x14ac:dyDescent="0.3">
      <c r="A39" s="21" t="s">
        <v>147</v>
      </c>
      <c r="B39" s="455"/>
      <c r="C39" s="456">
        <f>SUM(C40:C41)</f>
        <v>28278979.90790632</v>
      </c>
      <c r="D39" s="446">
        <f t="shared" ref="D39:H39" si="9">SUM(D40:D41)</f>
        <v>28562474.401034564</v>
      </c>
      <c r="E39" s="446">
        <f t="shared" si="9"/>
        <v>28803333.37939547</v>
      </c>
      <c r="F39" s="446">
        <f t="shared" si="9"/>
        <v>29021208.695156552</v>
      </c>
      <c r="G39" s="446">
        <f t="shared" si="9"/>
        <v>29336811.303433388</v>
      </c>
      <c r="H39" s="457">
        <f t="shared" si="9"/>
        <v>29660262.849846423</v>
      </c>
      <c r="I39" s="446">
        <f t="shared" si="1"/>
        <v>28943845.08946212</v>
      </c>
      <c r="J39" s="447">
        <f t="shared" si="2"/>
        <v>173663070.53677273</v>
      </c>
      <c r="K39" s="544"/>
    </row>
    <row r="40" spans="1:15" x14ac:dyDescent="0.3">
      <c r="A40" s="549" t="s">
        <v>120</v>
      </c>
      <c r="B40" s="93"/>
      <c r="C40" s="464">
        <v>20436855.562632553</v>
      </c>
      <c r="D40" s="465">
        <v>20636721.392688975</v>
      </c>
      <c r="E40" s="465">
        <v>20804155.846462958</v>
      </c>
      <c r="F40" s="465">
        <v>20961428.966704149</v>
      </c>
      <c r="G40" s="465">
        <v>21190349.507744137</v>
      </c>
      <c r="H40" s="466">
        <v>21417861.97392761</v>
      </c>
      <c r="I40" s="286">
        <f t="shared" si="1"/>
        <v>20907895.541693393</v>
      </c>
      <c r="J40" s="444">
        <f t="shared" si="2"/>
        <v>125447373.25016037</v>
      </c>
      <c r="O40" s="166"/>
    </row>
    <row r="41" spans="1:15" x14ac:dyDescent="0.3">
      <c r="A41" s="549" t="s">
        <v>119</v>
      </c>
      <c r="B41" s="93"/>
      <c r="C41" s="464">
        <v>7842124.3452737676</v>
      </c>
      <c r="D41" s="465">
        <v>7925753.0083455881</v>
      </c>
      <c r="E41" s="465">
        <v>7999177.5329325106</v>
      </c>
      <c r="F41" s="465">
        <v>8059779.728452405</v>
      </c>
      <c r="G41" s="465">
        <v>8146461.7956892503</v>
      </c>
      <c r="H41" s="466">
        <v>8242400.8759188112</v>
      </c>
      <c r="I41" s="286">
        <f t="shared" si="1"/>
        <v>8035949.5477687223</v>
      </c>
      <c r="J41" s="444">
        <f t="shared" si="2"/>
        <v>48215697.286612332</v>
      </c>
      <c r="O41" s="166"/>
    </row>
    <row r="42" spans="1:15" s="89" customFormat="1" x14ac:dyDescent="0.3">
      <c r="A42" s="90" t="s">
        <v>459</v>
      </c>
      <c r="B42" s="92"/>
      <c r="C42" s="283">
        <f>C34-C35-C39</f>
        <v>2354908.6237043738</v>
      </c>
      <c r="D42" s="284">
        <f t="shared" ref="D42:H42" si="10">D34-D35-D39</f>
        <v>2429714.9874264561</v>
      </c>
      <c r="E42" s="284">
        <f t="shared" si="10"/>
        <v>2487411.6342016906</v>
      </c>
      <c r="F42" s="284">
        <f t="shared" si="10"/>
        <v>2534887.2921193466</v>
      </c>
      <c r="G42" s="284">
        <f t="shared" si="10"/>
        <v>2567060.1522659175</v>
      </c>
      <c r="H42" s="285">
        <f t="shared" si="10"/>
        <v>2436088.3671625182</v>
      </c>
      <c r="I42" s="288">
        <f t="shared" si="1"/>
        <v>2468345.1761467173</v>
      </c>
      <c r="J42" s="445">
        <f t="shared" si="2"/>
        <v>14810071.056880303</v>
      </c>
      <c r="K42" s="2"/>
    </row>
    <row r="43" spans="1:15" x14ac:dyDescent="0.3">
      <c r="A43" s="21" t="s">
        <v>149</v>
      </c>
      <c r="B43" s="455"/>
      <c r="C43" s="458">
        <v>0</v>
      </c>
      <c r="D43" s="459">
        <v>0</v>
      </c>
      <c r="E43" s="459">
        <v>0</v>
      </c>
      <c r="F43" s="459">
        <v>0</v>
      </c>
      <c r="G43" s="459">
        <v>0</v>
      </c>
      <c r="H43" s="460">
        <v>0</v>
      </c>
      <c r="I43" s="446">
        <f t="shared" si="1"/>
        <v>0</v>
      </c>
      <c r="J43" s="447">
        <f t="shared" si="2"/>
        <v>0</v>
      </c>
    </row>
    <row r="44" spans="1:15" x14ac:dyDescent="0.3">
      <c r="A44" s="21" t="s">
        <v>148</v>
      </c>
      <c r="B44" s="455"/>
      <c r="C44" s="458">
        <v>0</v>
      </c>
      <c r="D44" s="459">
        <v>0</v>
      </c>
      <c r="E44" s="459">
        <v>0</v>
      </c>
      <c r="F44" s="459">
        <v>0</v>
      </c>
      <c r="G44" s="459">
        <v>0</v>
      </c>
      <c r="H44" s="460">
        <v>0</v>
      </c>
      <c r="I44" s="446">
        <f t="shared" si="1"/>
        <v>0</v>
      </c>
      <c r="J44" s="447">
        <f t="shared" si="2"/>
        <v>0</v>
      </c>
    </row>
    <row r="45" spans="1:15" x14ac:dyDescent="0.3">
      <c r="A45" s="21" t="s">
        <v>151</v>
      </c>
      <c r="B45" s="455"/>
      <c r="C45" s="456">
        <f>SUM(C46:C50)</f>
        <v>184883.04444444444</v>
      </c>
      <c r="D45" s="446">
        <f t="shared" ref="D45:H45" si="11">SUM(D46:D50)</f>
        <v>248353.44444444444</v>
      </c>
      <c r="E45" s="446">
        <f t="shared" si="11"/>
        <v>294613.44444444444</v>
      </c>
      <c r="F45" s="446">
        <f t="shared" si="11"/>
        <v>332913.44444444444</v>
      </c>
      <c r="G45" s="446">
        <f t="shared" si="11"/>
        <v>353913.44444444444</v>
      </c>
      <c r="H45" s="457">
        <f t="shared" si="11"/>
        <v>205013.84444444446</v>
      </c>
      <c r="I45" s="446">
        <f t="shared" si="1"/>
        <v>269948.44444444444</v>
      </c>
      <c r="J45" s="447">
        <f t="shared" si="2"/>
        <v>1619690.6666666667</v>
      </c>
    </row>
    <row r="46" spans="1:15" x14ac:dyDescent="0.3">
      <c r="A46" s="548" t="s">
        <v>118</v>
      </c>
      <c r="B46" s="93"/>
      <c r="C46" s="464">
        <f>'5b'!C61</f>
        <v>184883.04444444444</v>
      </c>
      <c r="D46" s="465">
        <f>'5b'!D61</f>
        <v>248353.44444444444</v>
      </c>
      <c r="E46" s="465">
        <f>'5b'!E61</f>
        <v>294613.44444444444</v>
      </c>
      <c r="F46" s="465">
        <f>'5b'!F61</f>
        <v>332913.44444444444</v>
      </c>
      <c r="G46" s="465">
        <f>'5b'!G61</f>
        <v>353913.44444444444</v>
      </c>
      <c r="H46" s="466">
        <f>'5b'!H61</f>
        <v>205013.84444444446</v>
      </c>
      <c r="I46" s="286">
        <f t="shared" si="1"/>
        <v>269948.44444444444</v>
      </c>
      <c r="J46" s="444">
        <f t="shared" si="2"/>
        <v>1619690.6666666667</v>
      </c>
    </row>
    <row r="47" spans="1:15" x14ac:dyDescent="0.3">
      <c r="A47" s="548" t="s">
        <v>158</v>
      </c>
      <c r="B47" s="93"/>
      <c r="C47" s="464">
        <v>0</v>
      </c>
      <c r="D47" s="465">
        <v>0</v>
      </c>
      <c r="E47" s="465">
        <v>0</v>
      </c>
      <c r="F47" s="465">
        <v>0</v>
      </c>
      <c r="G47" s="465">
        <v>0</v>
      </c>
      <c r="H47" s="466">
        <v>0</v>
      </c>
      <c r="I47" s="286">
        <f t="shared" si="1"/>
        <v>0</v>
      </c>
      <c r="J47" s="444">
        <f t="shared" si="2"/>
        <v>0</v>
      </c>
    </row>
    <row r="48" spans="1:15" x14ac:dyDescent="0.3">
      <c r="A48" s="548" t="s">
        <v>159</v>
      </c>
      <c r="B48" s="93"/>
      <c r="C48" s="464">
        <v>0</v>
      </c>
      <c r="D48" s="465">
        <v>0</v>
      </c>
      <c r="E48" s="465">
        <v>0</v>
      </c>
      <c r="F48" s="465">
        <v>0</v>
      </c>
      <c r="G48" s="465">
        <v>0</v>
      </c>
      <c r="H48" s="466">
        <v>0</v>
      </c>
      <c r="I48" s="286">
        <f t="shared" si="1"/>
        <v>0</v>
      </c>
      <c r="J48" s="444">
        <f t="shared" si="2"/>
        <v>0</v>
      </c>
    </row>
    <row r="49" spans="1:10" x14ac:dyDescent="0.3">
      <c r="A49" s="548" t="s">
        <v>160</v>
      </c>
      <c r="B49" s="93"/>
      <c r="C49" s="464">
        <v>0</v>
      </c>
      <c r="D49" s="465">
        <v>0</v>
      </c>
      <c r="E49" s="465">
        <v>0</v>
      </c>
      <c r="F49" s="465">
        <v>0</v>
      </c>
      <c r="G49" s="465">
        <v>0</v>
      </c>
      <c r="H49" s="466">
        <v>0</v>
      </c>
      <c r="I49" s="286">
        <f t="shared" si="1"/>
        <v>0</v>
      </c>
      <c r="J49" s="444">
        <f t="shared" si="2"/>
        <v>0</v>
      </c>
    </row>
    <row r="50" spans="1:10" x14ac:dyDescent="0.3">
      <c r="A50" s="548" t="s">
        <v>150</v>
      </c>
      <c r="B50" s="94"/>
      <c r="C50" s="641">
        <v>0</v>
      </c>
      <c r="D50" s="642">
        <v>0</v>
      </c>
      <c r="E50" s="642">
        <v>0</v>
      </c>
      <c r="F50" s="642">
        <v>0</v>
      </c>
      <c r="G50" s="642">
        <v>0</v>
      </c>
      <c r="H50" s="643">
        <v>0</v>
      </c>
      <c r="I50" s="286">
        <f t="shared" si="1"/>
        <v>0</v>
      </c>
      <c r="J50" s="444">
        <f t="shared" si="2"/>
        <v>0</v>
      </c>
    </row>
    <row r="51" spans="1:10" s="89" customFormat="1" x14ac:dyDescent="0.35">
      <c r="A51" s="90" t="s">
        <v>117</v>
      </c>
      <c r="B51" s="92"/>
      <c r="C51" s="283">
        <f>C42-C43+C44-C45</f>
        <v>2170025.5792599292</v>
      </c>
      <c r="D51" s="284">
        <f t="shared" ref="D51:H51" si="12">D42-D43+D44-D45</f>
        <v>2181361.5429820116</v>
      </c>
      <c r="E51" s="284">
        <f t="shared" si="12"/>
        <v>2192798.1897572461</v>
      </c>
      <c r="F51" s="284">
        <f t="shared" si="12"/>
        <v>2201973.8476749021</v>
      </c>
      <c r="G51" s="284">
        <f t="shared" si="12"/>
        <v>2213146.707821473</v>
      </c>
      <c r="H51" s="285">
        <f t="shared" si="12"/>
        <v>2231074.5227180738</v>
      </c>
      <c r="I51" s="288">
        <f t="shared" si="1"/>
        <v>2198396.7317022728</v>
      </c>
      <c r="J51" s="445">
        <f t="shared" si="2"/>
        <v>13190380.390213637</v>
      </c>
    </row>
    <row r="52" spans="1:10" x14ac:dyDescent="0.3">
      <c r="A52" s="21" t="s">
        <v>152</v>
      </c>
      <c r="B52" s="455"/>
      <c r="C52" s="458">
        <v>11434.154771429869</v>
      </c>
      <c r="D52" s="459">
        <v>11361.878678498235</v>
      </c>
      <c r="E52" s="459">
        <v>11315.050043751526</v>
      </c>
      <c r="F52" s="459">
        <v>11268.221409004816</v>
      </c>
      <c r="G52" s="459">
        <v>11408.707313244944</v>
      </c>
      <c r="H52" s="460">
        <v>11361.878678498235</v>
      </c>
      <c r="I52" s="446">
        <f t="shared" si="1"/>
        <v>11358.31514907127</v>
      </c>
      <c r="J52" s="447">
        <f t="shared" si="2"/>
        <v>68149.890894427619</v>
      </c>
    </row>
    <row r="53" spans="1:10" x14ac:dyDescent="0.3">
      <c r="A53" s="21" t="s">
        <v>153</v>
      </c>
      <c r="B53" s="455"/>
      <c r="C53" s="458">
        <f>-'5.Charges fixes'!C109</f>
        <v>80000</v>
      </c>
      <c r="D53" s="459">
        <f>-'5.Charges fixes'!D109</f>
        <v>80000</v>
      </c>
      <c r="E53" s="459">
        <f>-'5.Charges fixes'!E109</f>
        <v>80000</v>
      </c>
      <c r="F53" s="459">
        <f>-'5.Charges fixes'!F109</f>
        <v>80000</v>
      </c>
      <c r="G53" s="459">
        <f>-'5.Charges fixes'!G109</f>
        <v>80000</v>
      </c>
      <c r="H53" s="460">
        <f>-'5.Charges fixes'!H109</f>
        <v>80000</v>
      </c>
      <c r="I53" s="446">
        <f t="shared" si="1"/>
        <v>80000</v>
      </c>
      <c r="J53" s="447">
        <f t="shared" si="2"/>
        <v>480000</v>
      </c>
    </row>
    <row r="54" spans="1:10" s="89" customFormat="1" x14ac:dyDescent="0.35">
      <c r="A54" s="90" t="s">
        <v>116</v>
      </c>
      <c r="B54" s="92"/>
      <c r="C54" s="283">
        <f>C53-C52</f>
        <v>68565.845228570135</v>
      </c>
      <c r="D54" s="284">
        <f t="shared" ref="D54:H54" si="13">D53-D52</f>
        <v>68638.121321501763</v>
      </c>
      <c r="E54" s="284">
        <f t="shared" si="13"/>
        <v>68684.949956248471</v>
      </c>
      <c r="F54" s="284">
        <f t="shared" si="13"/>
        <v>68731.778590995178</v>
      </c>
      <c r="G54" s="284">
        <f t="shared" si="13"/>
        <v>68591.292686755056</v>
      </c>
      <c r="H54" s="285">
        <f t="shared" si="13"/>
        <v>68638.121321501763</v>
      </c>
      <c r="I54" s="289">
        <f t="shared" si="1"/>
        <v>68641.684850928723</v>
      </c>
      <c r="J54" s="445">
        <f t="shared" si="2"/>
        <v>411850.10910557234</v>
      </c>
    </row>
    <row r="55" spans="1:10" s="89" customFormat="1" x14ac:dyDescent="0.35">
      <c r="A55" s="90" t="s">
        <v>161</v>
      </c>
      <c r="B55" s="92"/>
      <c r="C55" s="283">
        <f>C51+C54</f>
        <v>2238591.4244884993</v>
      </c>
      <c r="D55" s="284">
        <f t="shared" ref="D55:H55" si="14">D51+D54</f>
        <v>2249999.6643035132</v>
      </c>
      <c r="E55" s="284">
        <f t="shared" si="14"/>
        <v>2261483.1397134946</v>
      </c>
      <c r="F55" s="284">
        <f t="shared" si="14"/>
        <v>2270705.6262658974</v>
      </c>
      <c r="G55" s="284">
        <f t="shared" si="14"/>
        <v>2281738.0005082279</v>
      </c>
      <c r="H55" s="285">
        <f t="shared" si="14"/>
        <v>2299712.6440395755</v>
      </c>
      <c r="I55" s="289">
        <f t="shared" si="1"/>
        <v>2267038.4165532016</v>
      </c>
      <c r="J55" s="445">
        <f t="shared" si="2"/>
        <v>13602230.499319209</v>
      </c>
    </row>
    <row r="56" spans="1:10" x14ac:dyDescent="0.3">
      <c r="C56" s="11"/>
      <c r="D56" s="11"/>
      <c r="E56" s="11"/>
      <c r="F56" s="11"/>
      <c r="G56" s="11"/>
      <c r="H56" s="11"/>
      <c r="I56" s="11"/>
      <c r="J56" s="11"/>
    </row>
  </sheetData>
  <sheetProtection selectLockedCells="1" selectUnlockedCells="1"/>
  <mergeCells count="3">
    <mergeCell ref="A3:A4"/>
    <mergeCell ref="B3:B4"/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rstPageNumber="0" orientation="landscape" r:id="rId1"/>
  <headerFooter>
    <oddHeader>&amp;L&amp;F&amp;R&amp;A</oddHeader>
    <oddFooter>&amp;L&amp;D&amp;C&amp;P/&amp;N&amp;R&amp;T</oddFooter>
  </headerFooter>
  <rowBreaks count="2" manualBreakCount="2">
    <brk id="12" max="9" man="1"/>
    <brk id="41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97D1-2427-4F44-BCEF-4769BFFD14A6}">
  <sheetPr codeName="Sheet31">
    <tabColor theme="4" tint="0.59999389629810485"/>
    <pageSetUpPr fitToPage="1"/>
  </sheetPr>
  <dimension ref="A1:M33"/>
  <sheetViews>
    <sheetView showGridLines="0" topLeftCell="A10" zoomScale="85" zoomScaleNormal="85" workbookViewId="0">
      <selection activeCell="E21" sqref="E21"/>
    </sheetView>
  </sheetViews>
  <sheetFormatPr baseColWidth="10" defaultColWidth="11.26953125" defaultRowHeight="13" x14ac:dyDescent="0.3"/>
  <cols>
    <col min="1" max="1" width="34.7265625" style="2" customWidth="1"/>
    <col min="2" max="2" width="11" style="17" customWidth="1"/>
    <col min="3" max="8" width="11" style="28" customWidth="1"/>
    <col min="9" max="9" width="6.7265625" style="28" customWidth="1"/>
    <col min="10" max="11" width="11" style="28" customWidth="1"/>
    <col min="12" max="12" width="11.26953125" style="2"/>
    <col min="13" max="13" width="20.26953125" style="2" bestFit="1" customWidth="1"/>
    <col min="14" max="16384" width="11.26953125" style="2"/>
  </cols>
  <sheetData>
    <row r="1" spans="1:13" ht="25.4" customHeight="1" x14ac:dyDescent="0.3">
      <c r="A1" s="680" t="s">
        <v>570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1"/>
    </row>
    <row r="3" spans="1:13" customFormat="1" ht="14.5" x14ac:dyDescent="0.35"/>
    <row r="4" spans="1:13" ht="13.15" customHeight="1" x14ac:dyDescent="0.35">
      <c r="A4" s="666" t="s">
        <v>201</v>
      </c>
      <c r="B4" s="678" t="s">
        <v>0</v>
      </c>
      <c r="C4" s="291" t="s">
        <v>425</v>
      </c>
      <c r="D4" s="291" t="s">
        <v>565</v>
      </c>
      <c r="E4" s="291" t="s">
        <v>566</v>
      </c>
      <c r="F4" s="291" t="s">
        <v>567</v>
      </c>
      <c r="G4" s="291" t="s">
        <v>568</v>
      </c>
      <c r="H4" s="291" t="s">
        <v>569</v>
      </c>
      <c r="I4"/>
      <c r="J4" s="179" t="s">
        <v>295</v>
      </c>
      <c r="K4" s="179" t="s">
        <v>296</v>
      </c>
      <c r="M4" s="683" t="s">
        <v>305</v>
      </c>
    </row>
    <row r="5" spans="1:13" ht="22.9" customHeight="1" x14ac:dyDescent="0.35">
      <c r="A5" s="667"/>
      <c r="B5" s="679"/>
      <c r="C5" s="77">
        <v>12</v>
      </c>
      <c r="D5" s="77">
        <v>12</v>
      </c>
      <c r="E5" s="77">
        <v>12</v>
      </c>
      <c r="F5" s="77">
        <v>12</v>
      </c>
      <c r="G5" s="77">
        <v>12</v>
      </c>
      <c r="H5" s="181">
        <v>12</v>
      </c>
      <c r="I5"/>
      <c r="J5" s="78">
        <v>12</v>
      </c>
      <c r="K5" s="78">
        <v>12</v>
      </c>
      <c r="M5" s="684"/>
    </row>
    <row r="6" spans="1:13" s="5" customFormat="1" ht="14.5" x14ac:dyDescent="0.35">
      <c r="A6" s="580" t="s">
        <v>66</v>
      </c>
      <c r="B6" s="8"/>
      <c r="C6" s="572"/>
      <c r="D6" s="572"/>
      <c r="E6" s="572"/>
      <c r="F6" s="572"/>
      <c r="G6" s="572"/>
      <c r="H6" s="329"/>
      <c r="I6"/>
      <c r="J6" s="10">
        <f t="shared" ref="J6:J8" si="0">IFERROR(AVERAGE(C6:H6),0)</f>
        <v>0</v>
      </c>
      <c r="K6" s="10">
        <f t="shared" ref="K6:K8" si="1">SUM(C6:H6)</f>
        <v>0</v>
      </c>
      <c r="M6" s="186"/>
    </row>
    <row r="7" spans="1:13" ht="14.5" x14ac:dyDescent="0.35">
      <c r="A7" s="581" t="s">
        <v>67</v>
      </c>
      <c r="B7" s="15"/>
      <c r="C7" s="106"/>
      <c r="D7" s="106"/>
      <c r="E7" s="106"/>
      <c r="F7" s="106"/>
      <c r="G7" s="106"/>
      <c r="H7" s="183"/>
      <c r="I7"/>
      <c r="J7" s="582">
        <f t="shared" si="0"/>
        <v>0</v>
      </c>
      <c r="K7" s="16">
        <f t="shared" si="1"/>
        <v>0</v>
      </c>
      <c r="M7" s="187"/>
    </row>
    <row r="8" spans="1:13" ht="14.5" x14ac:dyDescent="0.35">
      <c r="A8" s="18" t="s">
        <v>207</v>
      </c>
      <c r="B8" s="68"/>
      <c r="C8" s="19">
        <f>C6+C7</f>
        <v>0</v>
      </c>
      <c r="D8" s="19">
        <f t="shared" ref="D8:H8" si="2">D6+D7</f>
        <v>0</v>
      </c>
      <c r="E8" s="19">
        <f t="shared" si="2"/>
        <v>0</v>
      </c>
      <c r="F8" s="19">
        <f t="shared" si="2"/>
        <v>0</v>
      </c>
      <c r="G8" s="19">
        <f t="shared" si="2"/>
        <v>0</v>
      </c>
      <c r="H8" s="35">
        <f t="shared" si="2"/>
        <v>0</v>
      </c>
      <c r="I8"/>
      <c r="J8" s="60">
        <f t="shared" si="0"/>
        <v>0</v>
      </c>
      <c r="K8" s="20">
        <f t="shared" si="1"/>
        <v>0</v>
      </c>
      <c r="M8" s="188"/>
    </row>
    <row r="9" spans="1:13" ht="14.5" x14ac:dyDescent="0.35">
      <c r="C9" s="13"/>
      <c r="D9" s="13"/>
      <c r="E9" s="13"/>
      <c r="F9" s="13"/>
      <c r="G9" s="13"/>
      <c r="H9" s="13"/>
      <c r="I9"/>
      <c r="J9" s="13"/>
      <c r="K9" s="13"/>
    </row>
    <row r="10" spans="1:13" ht="14.5" x14ac:dyDescent="0.35">
      <c r="C10" s="13"/>
      <c r="D10" s="13"/>
      <c r="E10" s="13"/>
      <c r="F10" s="13"/>
      <c r="G10" s="13"/>
      <c r="H10" s="13"/>
      <c r="I10"/>
      <c r="J10" s="13"/>
      <c r="K10" s="13"/>
      <c r="M10"/>
    </row>
    <row r="11" spans="1:13" ht="26" x14ac:dyDescent="0.35">
      <c r="A11" s="666" t="s">
        <v>198</v>
      </c>
      <c r="B11" s="678" t="s">
        <v>0</v>
      </c>
      <c r="C11" s="291" t="s">
        <v>425</v>
      </c>
      <c r="D11" s="291" t="s">
        <v>565</v>
      </c>
      <c r="E11" s="291" t="s">
        <v>566</v>
      </c>
      <c r="F11" s="291" t="s">
        <v>567</v>
      </c>
      <c r="G11" s="291" t="s">
        <v>568</v>
      </c>
      <c r="H11" s="291" t="s">
        <v>569</v>
      </c>
      <c r="I11"/>
      <c r="J11" s="179" t="s">
        <v>271</v>
      </c>
      <c r="K11" s="179" t="s">
        <v>62</v>
      </c>
      <c r="M11" s="685" t="s">
        <v>305</v>
      </c>
    </row>
    <row r="12" spans="1:13" ht="14.5" x14ac:dyDescent="0.35">
      <c r="A12" s="667"/>
      <c r="B12" s="679"/>
      <c r="C12" s="77">
        <v>12</v>
      </c>
      <c r="D12" s="77">
        <v>12</v>
      </c>
      <c r="E12" s="77">
        <v>12</v>
      </c>
      <c r="F12" s="77">
        <v>12</v>
      </c>
      <c r="G12" s="77">
        <v>12</v>
      </c>
      <c r="H12" s="181">
        <v>12</v>
      </c>
      <c r="I12"/>
      <c r="J12" s="78">
        <v>12</v>
      </c>
      <c r="K12" s="78">
        <v>72</v>
      </c>
      <c r="M12" s="685"/>
    </row>
    <row r="13" spans="1:13" s="5" customFormat="1" ht="14.5" x14ac:dyDescent="0.35">
      <c r="A13" s="21" t="s">
        <v>197</v>
      </c>
      <c r="B13" s="151"/>
      <c r="C13" s="110">
        <f>SUM(C14:C16)</f>
        <v>0</v>
      </c>
      <c r="D13" s="110">
        <f t="shared" ref="D13:H13" si="3">SUM(D14:D16)</f>
        <v>0</v>
      </c>
      <c r="E13" s="110">
        <f t="shared" si="3"/>
        <v>0</v>
      </c>
      <c r="F13" s="110">
        <f t="shared" si="3"/>
        <v>0</v>
      </c>
      <c r="G13" s="110">
        <f t="shared" si="3"/>
        <v>0</v>
      </c>
      <c r="H13" s="184">
        <f t="shared" si="3"/>
        <v>0</v>
      </c>
      <c r="I13"/>
      <c r="J13" s="24">
        <f>IFERROR(AVERAGE(C13:H13),0)</f>
        <v>0</v>
      </c>
      <c r="K13" s="24">
        <f>SUM(C13:H13)</f>
        <v>0</v>
      </c>
      <c r="M13" s="187"/>
    </row>
    <row r="14" spans="1:13" ht="14.5" x14ac:dyDescent="0.35">
      <c r="A14" s="25" t="s">
        <v>1</v>
      </c>
      <c r="B14" s="12"/>
      <c r="C14" s="13"/>
      <c r="D14" s="13"/>
      <c r="E14" s="13"/>
      <c r="F14" s="13"/>
      <c r="G14" s="13"/>
      <c r="H14" s="157"/>
      <c r="I14"/>
      <c r="J14" s="14">
        <f t="shared" ref="J14:J27" si="4">IFERROR(AVERAGE(C14:H14),0)</f>
        <v>0</v>
      </c>
      <c r="K14" s="14">
        <f t="shared" ref="K14:K27" si="5">SUM(C14:H14)</f>
        <v>0</v>
      </c>
      <c r="M14" s="186"/>
    </row>
    <row r="15" spans="1:13" ht="14.5" x14ac:dyDescent="0.35">
      <c r="A15" s="25" t="s">
        <v>167</v>
      </c>
      <c r="B15" s="12"/>
      <c r="C15" s="13"/>
      <c r="D15" s="13"/>
      <c r="E15" s="13"/>
      <c r="F15" s="13"/>
      <c r="G15" s="13"/>
      <c r="H15" s="157"/>
      <c r="I15"/>
      <c r="J15" s="14">
        <f t="shared" si="4"/>
        <v>0</v>
      </c>
      <c r="K15" s="14">
        <f t="shared" si="5"/>
        <v>0</v>
      </c>
      <c r="M15" s="187"/>
    </row>
    <row r="16" spans="1:13" ht="14.5" x14ac:dyDescent="0.35">
      <c r="A16" s="25" t="s">
        <v>2</v>
      </c>
      <c r="B16" s="12"/>
      <c r="C16" s="13"/>
      <c r="D16" s="13"/>
      <c r="E16" s="13"/>
      <c r="F16" s="13"/>
      <c r="G16" s="13"/>
      <c r="H16" s="157"/>
      <c r="I16"/>
      <c r="J16" s="14">
        <f t="shared" si="4"/>
        <v>0</v>
      </c>
      <c r="K16" s="14">
        <f t="shared" si="5"/>
        <v>0</v>
      </c>
      <c r="M16" s="187"/>
    </row>
    <row r="17" spans="1:13" s="5" customFormat="1" ht="14.5" x14ac:dyDescent="0.35">
      <c r="A17" s="21" t="s">
        <v>199</v>
      </c>
      <c r="B17" s="151"/>
      <c r="C17" s="23">
        <f>SUM(C18:C25)</f>
        <v>2176.895</v>
      </c>
      <c r="D17" s="23">
        <f t="shared" ref="D17:G17" si="6">SUM(D18:D25)</f>
        <v>5309.5</v>
      </c>
      <c r="E17" s="23">
        <f t="shared" si="6"/>
        <v>0</v>
      </c>
      <c r="F17" s="23">
        <f t="shared" si="6"/>
        <v>0</v>
      </c>
      <c r="G17" s="23">
        <f t="shared" si="6"/>
        <v>0</v>
      </c>
      <c r="H17" s="178">
        <f>SUM(H18:H25)</f>
        <v>0</v>
      </c>
      <c r="I17"/>
      <c r="J17" s="24">
        <f t="shared" si="4"/>
        <v>1247.7325000000001</v>
      </c>
      <c r="K17" s="24">
        <f t="shared" si="5"/>
        <v>7486.3950000000004</v>
      </c>
      <c r="M17" s="188"/>
    </row>
    <row r="18" spans="1:13" ht="14.5" x14ac:dyDescent="0.35">
      <c r="A18" s="25" t="s">
        <v>3</v>
      </c>
      <c r="B18" s="12"/>
      <c r="C18" s="251"/>
      <c r="D18" s="13"/>
      <c r="E18" s="13"/>
      <c r="F18" s="13"/>
      <c r="G18" s="13"/>
      <c r="H18" s="157"/>
      <c r="I18"/>
      <c r="J18" s="14">
        <f t="shared" si="4"/>
        <v>0</v>
      </c>
      <c r="K18" s="14">
        <f t="shared" si="5"/>
        <v>0</v>
      </c>
      <c r="M18" s="187" t="s">
        <v>318</v>
      </c>
    </row>
    <row r="19" spans="1:13" ht="14.5" x14ac:dyDescent="0.35">
      <c r="A19" s="25" t="s">
        <v>166</v>
      </c>
      <c r="B19" s="12"/>
      <c r="C19" s="251"/>
      <c r="D19" s="13"/>
      <c r="E19" s="13"/>
      <c r="F19" s="13"/>
      <c r="G19" s="13"/>
      <c r="H19" s="157"/>
      <c r="I19"/>
      <c r="J19" s="14">
        <f t="shared" si="4"/>
        <v>0</v>
      </c>
      <c r="K19" s="14">
        <f t="shared" si="5"/>
        <v>0</v>
      </c>
      <c r="M19" s="187"/>
    </row>
    <row r="20" spans="1:13" ht="14.5" x14ac:dyDescent="0.35">
      <c r="A20" s="25" t="s">
        <v>4</v>
      </c>
      <c r="B20" s="12"/>
      <c r="C20" s="251">
        <v>51.25</v>
      </c>
      <c r="D20" s="251">
        <v>125</v>
      </c>
      <c r="E20" s="251">
        <v>0</v>
      </c>
      <c r="F20" s="251">
        <v>0</v>
      </c>
      <c r="G20" s="251">
        <v>0</v>
      </c>
      <c r="H20" s="157">
        <v>0</v>
      </c>
      <c r="I20"/>
      <c r="J20" s="14">
        <f t="shared" si="4"/>
        <v>29.375</v>
      </c>
      <c r="K20" s="14">
        <f t="shared" si="5"/>
        <v>176.25</v>
      </c>
      <c r="M20" s="187" t="s">
        <v>319</v>
      </c>
    </row>
    <row r="21" spans="1:13" ht="14.5" x14ac:dyDescent="0.35">
      <c r="A21" s="25" t="s">
        <v>5</v>
      </c>
      <c r="B21" s="12"/>
      <c r="C21" s="251">
        <v>31.518749999999997</v>
      </c>
      <c r="D21" s="13">
        <v>76.875</v>
      </c>
      <c r="E21" s="13">
        <v>0</v>
      </c>
      <c r="F21" s="13">
        <v>0</v>
      </c>
      <c r="G21" s="13">
        <v>0</v>
      </c>
      <c r="H21" s="157">
        <v>0</v>
      </c>
      <c r="I21"/>
      <c r="J21" s="14">
        <f t="shared" si="4"/>
        <v>18.065625000000001</v>
      </c>
      <c r="K21" s="14">
        <f t="shared" si="5"/>
        <v>108.39375</v>
      </c>
      <c r="M21" s="187"/>
    </row>
    <row r="22" spans="1:13" ht="14.5" x14ac:dyDescent="0.35">
      <c r="A22" s="25" t="s">
        <v>176</v>
      </c>
      <c r="B22" s="12"/>
      <c r="C22" s="251"/>
      <c r="D22" s="13"/>
      <c r="E22" s="13"/>
      <c r="F22" s="13"/>
      <c r="G22" s="13"/>
      <c r="H22" s="157"/>
      <c r="I22"/>
      <c r="J22" s="14">
        <f t="shared" si="4"/>
        <v>0</v>
      </c>
      <c r="K22" s="14">
        <f t="shared" si="5"/>
        <v>0</v>
      </c>
      <c r="M22" s="187"/>
    </row>
    <row r="23" spans="1:13" ht="14.5" x14ac:dyDescent="0.35">
      <c r="A23" s="25" t="s">
        <v>182</v>
      </c>
      <c r="B23" s="12"/>
      <c r="C23" s="251"/>
      <c r="D23" s="13"/>
      <c r="E23" s="13"/>
      <c r="F23" s="13"/>
      <c r="G23" s="13"/>
      <c r="H23" s="157"/>
      <c r="I23"/>
      <c r="J23" s="14">
        <f t="shared" si="4"/>
        <v>0</v>
      </c>
      <c r="K23" s="14">
        <f t="shared" si="5"/>
        <v>0</v>
      </c>
      <c r="M23" s="187"/>
    </row>
    <row r="24" spans="1:13" s="5" customFormat="1" ht="14.5" x14ac:dyDescent="0.35">
      <c r="A24" s="25" t="s">
        <v>6</v>
      </c>
      <c r="B24" s="12"/>
      <c r="C24" s="251">
        <v>2050</v>
      </c>
      <c r="D24" s="13">
        <v>5000</v>
      </c>
      <c r="E24" s="13">
        <v>0</v>
      </c>
      <c r="F24" s="13">
        <v>0</v>
      </c>
      <c r="G24" s="13">
        <v>0</v>
      </c>
      <c r="H24" s="157">
        <v>0</v>
      </c>
      <c r="I24"/>
      <c r="J24" s="14">
        <f t="shared" si="4"/>
        <v>1175</v>
      </c>
      <c r="K24" s="14">
        <f t="shared" si="5"/>
        <v>7050</v>
      </c>
      <c r="M24" s="187" t="s">
        <v>316</v>
      </c>
    </row>
    <row r="25" spans="1:13" ht="14.5" x14ac:dyDescent="0.35">
      <c r="A25" s="25" t="s">
        <v>196</v>
      </c>
      <c r="B25" s="12"/>
      <c r="C25" s="251">
        <v>44.126250000000006</v>
      </c>
      <c r="D25" s="13">
        <v>107.625</v>
      </c>
      <c r="E25" s="13">
        <v>0</v>
      </c>
      <c r="F25" s="13">
        <v>0</v>
      </c>
      <c r="G25" s="13">
        <v>0</v>
      </c>
      <c r="H25" s="157">
        <v>0</v>
      </c>
      <c r="I25"/>
      <c r="J25" s="14">
        <f t="shared" si="4"/>
        <v>25.291875000000001</v>
      </c>
      <c r="K25" s="14">
        <f t="shared" si="5"/>
        <v>151.75125</v>
      </c>
      <c r="M25" s="187"/>
    </row>
    <row r="26" spans="1:13" ht="14.5" x14ac:dyDescent="0.35">
      <c r="A26" s="21" t="s">
        <v>200</v>
      </c>
      <c r="B26" s="150"/>
      <c r="C26" s="23"/>
      <c r="D26" s="23"/>
      <c r="E26" s="23"/>
      <c r="F26" s="23"/>
      <c r="G26" s="23"/>
      <c r="H26" s="178"/>
      <c r="I26"/>
      <c r="J26" s="24">
        <f t="shared" si="4"/>
        <v>0</v>
      </c>
      <c r="K26" s="24">
        <f t="shared" si="5"/>
        <v>0</v>
      </c>
      <c r="M26" s="188"/>
    </row>
    <row r="27" spans="1:13" ht="14.5" x14ac:dyDescent="0.35">
      <c r="A27" s="18" t="s">
        <v>208</v>
      </c>
      <c r="B27" s="57"/>
      <c r="C27" s="19">
        <f>C13+C17+C26</f>
        <v>2176.895</v>
      </c>
      <c r="D27" s="19">
        <f t="shared" ref="D27:H27" si="7">D13+D17+D26</f>
        <v>5309.5</v>
      </c>
      <c r="E27" s="19">
        <f t="shared" si="7"/>
        <v>0</v>
      </c>
      <c r="F27" s="19">
        <f t="shared" si="7"/>
        <v>0</v>
      </c>
      <c r="G27" s="19">
        <f t="shared" si="7"/>
        <v>0</v>
      </c>
      <c r="H27" s="35">
        <f t="shared" si="7"/>
        <v>0</v>
      </c>
      <c r="I27"/>
      <c r="J27" s="20">
        <f t="shared" si="4"/>
        <v>1247.7325000000001</v>
      </c>
      <c r="K27" s="20">
        <f t="shared" si="5"/>
        <v>7486.3950000000004</v>
      </c>
      <c r="M27" s="188"/>
    </row>
    <row r="28" spans="1:13" ht="14.5" x14ac:dyDescent="0.35">
      <c r="B28" s="30"/>
      <c r="C28" s="2"/>
      <c r="D28" s="2"/>
      <c r="E28" s="2"/>
      <c r="F28" s="2"/>
      <c r="G28" s="2"/>
      <c r="H28" s="2"/>
      <c r="I28"/>
      <c r="J28" s="2"/>
      <c r="K28" s="2"/>
      <c r="M28" s="11"/>
    </row>
    <row r="29" spans="1:13" ht="14.5" x14ac:dyDescent="0.35">
      <c r="A29" s="111" t="s">
        <v>202</v>
      </c>
      <c r="B29" s="112"/>
      <c r="C29" s="236">
        <f>C25/C27</f>
        <v>2.0270270270270275E-2</v>
      </c>
      <c r="D29" s="236">
        <f t="shared" ref="D29:H29" si="8">D25/D27</f>
        <v>2.0270270270270271E-2</v>
      </c>
      <c r="E29" s="236" t="e">
        <f t="shared" si="8"/>
        <v>#DIV/0!</v>
      </c>
      <c r="F29" s="236" t="e">
        <f t="shared" si="8"/>
        <v>#DIV/0!</v>
      </c>
      <c r="G29" s="236" t="e">
        <f t="shared" si="8"/>
        <v>#DIV/0!</v>
      </c>
      <c r="H29" s="237" t="e">
        <f t="shared" si="8"/>
        <v>#DIV/0!</v>
      </c>
      <c r="I29" s="240"/>
      <c r="J29" s="241">
        <f t="shared" ref="J29:K29" si="9">J25/J27</f>
        <v>2.0270270270270271E-2</v>
      </c>
      <c r="K29" s="236">
        <f t="shared" si="9"/>
        <v>2.0270270270270268E-2</v>
      </c>
    </row>
    <row r="30" spans="1:13" ht="14.5" x14ac:dyDescent="0.35">
      <c r="I30"/>
    </row>
    <row r="31" spans="1:13" ht="14.5" x14ac:dyDescent="0.35">
      <c r="I31"/>
    </row>
    <row r="32" spans="1:13" ht="14.5" x14ac:dyDescent="0.35">
      <c r="I32"/>
    </row>
    <row r="33" spans="9:9" ht="14.5" x14ac:dyDescent="0.35">
      <c r="I33"/>
    </row>
  </sheetData>
  <mergeCells count="7">
    <mergeCell ref="A1:K1"/>
    <mergeCell ref="A4:A5"/>
    <mergeCell ref="B4:B5"/>
    <mergeCell ref="M4:M5"/>
    <mergeCell ref="A11:A12"/>
    <mergeCell ref="B11:B12"/>
    <mergeCell ref="M11:M12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&amp;L&amp;F&amp;R&amp;A</oddHeader>
    <oddFooter>&amp;L&amp;D&amp;C&amp;P/&amp;N&amp;R&amp;T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B750-41E3-411B-B6AA-A2E0053B5E9A}">
  <sheetPr codeName="Sheet32">
    <tabColor theme="4" tint="0.59999389629810485"/>
    <pageSetUpPr fitToPage="1"/>
  </sheetPr>
  <dimension ref="A1:M33"/>
  <sheetViews>
    <sheetView showGridLines="0" zoomScale="85" zoomScaleNormal="85" workbookViewId="0">
      <selection activeCell="C11" sqref="C11:H11"/>
    </sheetView>
  </sheetViews>
  <sheetFormatPr baseColWidth="10" defaultColWidth="11.26953125" defaultRowHeight="13" x14ac:dyDescent="0.3"/>
  <cols>
    <col min="1" max="1" width="34.7265625" style="2" customWidth="1"/>
    <col min="2" max="2" width="11" style="17" customWidth="1"/>
    <col min="3" max="8" width="11" style="28" customWidth="1"/>
    <col min="9" max="9" width="6.7265625" style="28" customWidth="1"/>
    <col min="10" max="11" width="11" style="28" customWidth="1"/>
    <col min="12" max="12" width="11.26953125" style="2"/>
    <col min="13" max="13" width="20.26953125" style="2" bestFit="1" customWidth="1"/>
    <col min="14" max="16384" width="11.26953125" style="2"/>
  </cols>
  <sheetData>
    <row r="1" spans="1:13" ht="25.4" customHeight="1" x14ac:dyDescent="0.3">
      <c r="A1" s="680" t="s">
        <v>515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1"/>
    </row>
    <row r="3" spans="1:13" customFormat="1" ht="14.5" x14ac:dyDescent="0.35"/>
    <row r="4" spans="1:13" ht="13.15" customHeight="1" x14ac:dyDescent="0.35">
      <c r="A4" s="666" t="s">
        <v>201</v>
      </c>
      <c r="B4" s="678" t="s">
        <v>0</v>
      </c>
      <c r="C4" s="291" t="s">
        <v>425</v>
      </c>
      <c r="D4" s="291" t="s">
        <v>565</v>
      </c>
      <c r="E4" s="291" t="s">
        <v>566</v>
      </c>
      <c r="F4" s="291" t="s">
        <v>567</v>
      </c>
      <c r="G4" s="291" t="s">
        <v>568</v>
      </c>
      <c r="H4" s="291" t="s">
        <v>569</v>
      </c>
      <c r="I4"/>
      <c r="J4" s="179" t="s">
        <v>295</v>
      </c>
      <c r="K4" s="179" t="s">
        <v>296</v>
      </c>
      <c r="M4" s="683" t="s">
        <v>305</v>
      </c>
    </row>
    <row r="5" spans="1:13" ht="22.9" customHeight="1" x14ac:dyDescent="0.35">
      <c r="A5" s="667"/>
      <c r="B5" s="679"/>
      <c r="C5" s="77">
        <v>12</v>
      </c>
      <c r="D5" s="77">
        <v>12</v>
      </c>
      <c r="E5" s="77">
        <v>12</v>
      </c>
      <c r="F5" s="77">
        <v>12</v>
      </c>
      <c r="G5" s="77">
        <v>12</v>
      </c>
      <c r="H5" s="181">
        <v>12</v>
      </c>
      <c r="I5"/>
      <c r="J5" s="78">
        <v>12</v>
      </c>
      <c r="K5" s="78">
        <v>12</v>
      </c>
      <c r="M5" s="684"/>
    </row>
    <row r="6" spans="1:13" s="5" customFormat="1" ht="14.5" x14ac:dyDescent="0.35">
      <c r="A6" s="580" t="s">
        <v>66</v>
      </c>
      <c r="B6" s="8"/>
      <c r="C6" s="572"/>
      <c r="D6" s="572"/>
      <c r="E6" s="572"/>
      <c r="F6" s="572"/>
      <c r="G6" s="572"/>
      <c r="H6" s="329"/>
      <c r="I6"/>
      <c r="J6" s="10">
        <f t="shared" ref="J6:J8" si="0">IFERROR(AVERAGE(C6:H6),0)</f>
        <v>0</v>
      </c>
      <c r="K6" s="10">
        <f t="shared" ref="K6:K8" si="1">SUM(C6:H6)</f>
        <v>0</v>
      </c>
      <c r="M6" s="186"/>
    </row>
    <row r="7" spans="1:13" ht="14.5" x14ac:dyDescent="0.35">
      <c r="A7" s="581" t="s">
        <v>67</v>
      </c>
      <c r="B7" s="15"/>
      <c r="C7" s="106">
        <v>478.12500000000006</v>
      </c>
      <c r="D7" s="106">
        <v>1050.0000000000002</v>
      </c>
      <c r="E7" s="106">
        <v>1650</v>
      </c>
      <c r="F7" s="106">
        <v>2100.0000000000005</v>
      </c>
      <c r="G7" s="106">
        <v>2512.5</v>
      </c>
      <c r="H7" s="183">
        <v>3112.5</v>
      </c>
      <c r="I7"/>
      <c r="J7" s="582">
        <f t="shared" si="0"/>
        <v>1817.1875</v>
      </c>
      <c r="K7" s="16">
        <f t="shared" si="1"/>
        <v>10903.125</v>
      </c>
      <c r="M7" s="187"/>
    </row>
    <row r="8" spans="1:13" ht="14.5" x14ac:dyDescent="0.35">
      <c r="A8" s="18" t="s">
        <v>207</v>
      </c>
      <c r="B8" s="68"/>
      <c r="C8" s="19">
        <f>C6+C7</f>
        <v>478.12500000000006</v>
      </c>
      <c r="D8" s="19">
        <f t="shared" ref="D8:H8" si="2">D6+D7</f>
        <v>1050.0000000000002</v>
      </c>
      <c r="E8" s="19">
        <f t="shared" si="2"/>
        <v>1650</v>
      </c>
      <c r="F8" s="19">
        <f t="shared" si="2"/>
        <v>2100.0000000000005</v>
      </c>
      <c r="G8" s="19">
        <f t="shared" si="2"/>
        <v>2512.5</v>
      </c>
      <c r="H8" s="35">
        <f t="shared" si="2"/>
        <v>3112.5</v>
      </c>
      <c r="I8"/>
      <c r="J8" s="60">
        <f t="shared" si="0"/>
        <v>1817.1875</v>
      </c>
      <c r="K8" s="20">
        <f t="shared" si="1"/>
        <v>10903.125</v>
      </c>
      <c r="M8" s="188"/>
    </row>
    <row r="9" spans="1:13" ht="14.5" x14ac:dyDescent="0.35">
      <c r="C9" s="13"/>
      <c r="D9" s="13"/>
      <c r="E9" s="13"/>
      <c r="F9" s="13"/>
      <c r="G9" s="13"/>
      <c r="H9" s="13"/>
      <c r="I9"/>
      <c r="J9" s="13"/>
      <c r="K9" s="13"/>
    </row>
    <row r="10" spans="1:13" ht="14.5" x14ac:dyDescent="0.35">
      <c r="C10" s="13"/>
      <c r="D10" s="13"/>
      <c r="E10" s="13"/>
      <c r="F10" s="13"/>
      <c r="G10" s="13"/>
      <c r="H10" s="13"/>
      <c r="I10"/>
      <c r="J10" s="13"/>
      <c r="K10" s="13"/>
      <c r="M10"/>
    </row>
    <row r="11" spans="1:13" ht="26" x14ac:dyDescent="0.35">
      <c r="A11" s="666" t="s">
        <v>198</v>
      </c>
      <c r="B11" s="678" t="s">
        <v>0</v>
      </c>
      <c r="C11" s="291" t="s">
        <v>425</v>
      </c>
      <c r="D11" s="291" t="s">
        <v>565</v>
      </c>
      <c r="E11" s="291" t="s">
        <v>566</v>
      </c>
      <c r="F11" s="291" t="s">
        <v>567</v>
      </c>
      <c r="G11" s="291" t="s">
        <v>568</v>
      </c>
      <c r="H11" s="291" t="s">
        <v>569</v>
      </c>
      <c r="I11"/>
      <c r="J11" s="179" t="s">
        <v>271</v>
      </c>
      <c r="K11" s="179" t="s">
        <v>62</v>
      </c>
      <c r="M11" s="685" t="s">
        <v>305</v>
      </c>
    </row>
    <row r="12" spans="1:13" ht="14.5" x14ac:dyDescent="0.35">
      <c r="A12" s="667"/>
      <c r="B12" s="679"/>
      <c r="C12" s="77">
        <v>12</v>
      </c>
      <c r="D12" s="77">
        <v>12</v>
      </c>
      <c r="E12" s="77">
        <v>12</v>
      </c>
      <c r="F12" s="77">
        <v>12</v>
      </c>
      <c r="G12" s="77">
        <v>12</v>
      </c>
      <c r="H12" s="181">
        <v>12</v>
      </c>
      <c r="I12"/>
      <c r="J12" s="78">
        <v>12</v>
      </c>
      <c r="K12" s="78">
        <v>72</v>
      </c>
      <c r="M12" s="685"/>
    </row>
    <row r="13" spans="1:13" s="5" customFormat="1" ht="14.5" x14ac:dyDescent="0.35">
      <c r="A13" s="21" t="s">
        <v>197</v>
      </c>
      <c r="B13" s="151"/>
      <c r="C13" s="110">
        <f>SUM(C14:C16)</f>
        <v>8250</v>
      </c>
      <c r="D13" s="110">
        <f t="shared" ref="D13:H13" si="3">SUM(D14:D16)</f>
        <v>11000</v>
      </c>
      <c r="E13" s="110">
        <f t="shared" si="3"/>
        <v>11000</v>
      </c>
      <c r="F13" s="110">
        <f t="shared" si="3"/>
        <v>11000</v>
      </c>
      <c r="G13" s="110">
        <f t="shared" si="3"/>
        <v>11000</v>
      </c>
      <c r="H13" s="184">
        <f t="shared" si="3"/>
        <v>11000</v>
      </c>
      <c r="I13"/>
      <c r="J13" s="24">
        <f>IFERROR(AVERAGE(C13:H13),0)</f>
        <v>10541.666666666666</v>
      </c>
      <c r="K13" s="24">
        <f>SUM(C13:H13)</f>
        <v>63250</v>
      </c>
      <c r="M13" s="187"/>
    </row>
    <row r="14" spans="1:13" ht="14.5" x14ac:dyDescent="0.35">
      <c r="A14" s="25" t="s">
        <v>1</v>
      </c>
      <c r="B14" s="12"/>
      <c r="C14" s="13">
        <v>8250</v>
      </c>
      <c r="D14" s="13">
        <v>11000</v>
      </c>
      <c r="E14" s="13">
        <v>11000</v>
      </c>
      <c r="F14" s="13">
        <v>11000</v>
      </c>
      <c r="G14" s="13">
        <v>11000</v>
      </c>
      <c r="H14" s="157">
        <v>11000</v>
      </c>
      <c r="I14"/>
      <c r="J14" s="14">
        <f t="shared" ref="J14:J27" si="4">IFERROR(AVERAGE(C14:H14),0)</f>
        <v>10541.666666666666</v>
      </c>
      <c r="K14" s="14">
        <f t="shared" ref="K14:K27" si="5">SUM(C14:H14)</f>
        <v>63250</v>
      </c>
      <c r="M14" s="186"/>
    </row>
    <row r="15" spans="1:13" ht="14.5" x14ac:dyDescent="0.35">
      <c r="A15" s="25" t="s">
        <v>167</v>
      </c>
      <c r="B15" s="12"/>
      <c r="C15" s="13"/>
      <c r="D15" s="13"/>
      <c r="E15" s="13"/>
      <c r="F15" s="13"/>
      <c r="G15" s="13"/>
      <c r="H15" s="157"/>
      <c r="I15"/>
      <c r="J15" s="14">
        <f t="shared" si="4"/>
        <v>0</v>
      </c>
      <c r="K15" s="14">
        <f t="shared" si="5"/>
        <v>0</v>
      </c>
      <c r="M15" s="187"/>
    </row>
    <row r="16" spans="1:13" ht="14.5" x14ac:dyDescent="0.35">
      <c r="A16" s="25" t="s">
        <v>2</v>
      </c>
      <c r="B16" s="12"/>
      <c r="C16" s="13"/>
      <c r="D16" s="13"/>
      <c r="E16" s="13"/>
      <c r="F16" s="13"/>
      <c r="G16" s="13"/>
      <c r="H16" s="157"/>
      <c r="I16"/>
      <c r="J16" s="14">
        <f t="shared" si="4"/>
        <v>0</v>
      </c>
      <c r="K16" s="14">
        <f t="shared" si="5"/>
        <v>0</v>
      </c>
      <c r="M16" s="187"/>
    </row>
    <row r="17" spans="1:13" s="5" customFormat="1" ht="14.5" x14ac:dyDescent="0.35">
      <c r="A17" s="21" t="s">
        <v>199</v>
      </c>
      <c r="B17" s="151"/>
      <c r="C17" s="23">
        <f>SUM(C18:C25)</f>
        <v>90777.484500000006</v>
      </c>
      <c r="D17" s="23">
        <f t="shared" ref="D17:G17" si="6">SUM(D18:D25)</f>
        <v>109281.413</v>
      </c>
      <c r="E17" s="23">
        <f t="shared" si="6"/>
        <v>109281.413</v>
      </c>
      <c r="F17" s="23">
        <f t="shared" si="6"/>
        <v>109281.413</v>
      </c>
      <c r="G17" s="23">
        <f t="shared" si="6"/>
        <v>109281.413</v>
      </c>
      <c r="H17" s="178">
        <f>SUM(H18:H25)</f>
        <v>74015.714000000007</v>
      </c>
      <c r="I17"/>
      <c r="J17" s="24">
        <f t="shared" si="4"/>
        <v>100319.80841666668</v>
      </c>
      <c r="K17" s="24">
        <f t="shared" si="5"/>
        <v>601918.85050000006</v>
      </c>
      <c r="M17" s="188"/>
    </row>
    <row r="18" spans="1:13" ht="14.5" x14ac:dyDescent="0.35">
      <c r="A18" s="25" t="s">
        <v>3</v>
      </c>
      <c r="B18" s="12"/>
      <c r="C18" s="251"/>
      <c r="D18" s="13"/>
      <c r="E18" s="13"/>
      <c r="F18" s="13"/>
      <c r="G18" s="13"/>
      <c r="H18" s="157"/>
      <c r="I18"/>
      <c r="J18" s="14">
        <f t="shared" si="4"/>
        <v>0</v>
      </c>
      <c r="K18" s="14">
        <f t="shared" si="5"/>
        <v>0</v>
      </c>
      <c r="M18" s="187" t="s">
        <v>318</v>
      </c>
    </row>
    <row r="19" spans="1:13" ht="14.5" x14ac:dyDescent="0.35">
      <c r="A19" s="25" t="s">
        <v>166</v>
      </c>
      <c r="B19" s="12"/>
      <c r="C19" s="251"/>
      <c r="D19" s="13"/>
      <c r="E19" s="13"/>
      <c r="F19" s="13"/>
      <c r="G19" s="13"/>
      <c r="H19" s="157"/>
      <c r="I19"/>
      <c r="J19" s="14">
        <f t="shared" si="4"/>
        <v>0</v>
      </c>
      <c r="K19" s="14">
        <f t="shared" si="5"/>
        <v>0</v>
      </c>
      <c r="M19" s="187"/>
    </row>
    <row r="20" spans="1:13" ht="14.5" x14ac:dyDescent="0.35">
      <c r="A20" s="25" t="s">
        <v>4</v>
      </c>
      <c r="B20" s="12"/>
      <c r="C20" s="251">
        <v>2331.375</v>
      </c>
      <c r="D20" s="251">
        <v>2831.75</v>
      </c>
      <c r="E20" s="251">
        <v>2831.75</v>
      </c>
      <c r="F20" s="251">
        <v>2831.75</v>
      </c>
      <c r="G20" s="251">
        <v>2831.75</v>
      </c>
      <c r="H20" s="157">
        <v>2001.5</v>
      </c>
      <c r="I20"/>
      <c r="J20" s="14">
        <f t="shared" si="4"/>
        <v>2609.9791666666665</v>
      </c>
      <c r="K20" s="14">
        <f t="shared" si="5"/>
        <v>15659.875</v>
      </c>
      <c r="M20" s="187" t="s">
        <v>319</v>
      </c>
    </row>
    <row r="21" spans="1:13" ht="14.5" x14ac:dyDescent="0.35">
      <c r="A21" s="25" t="s">
        <v>5</v>
      </c>
      <c r="B21" s="12"/>
      <c r="C21" s="251">
        <v>1433.795625</v>
      </c>
      <c r="D21" s="13">
        <v>1741.5262499999999</v>
      </c>
      <c r="E21" s="13">
        <v>1741.5262499999999</v>
      </c>
      <c r="F21" s="13">
        <v>1741.5262499999999</v>
      </c>
      <c r="G21" s="13">
        <v>1741.5262499999999</v>
      </c>
      <c r="H21" s="157">
        <v>1230.9224999999999</v>
      </c>
      <c r="I21"/>
      <c r="J21" s="14">
        <f t="shared" si="4"/>
        <v>1605.1371874999998</v>
      </c>
      <c r="K21" s="14">
        <f t="shared" si="5"/>
        <v>9630.823124999999</v>
      </c>
      <c r="M21" s="187"/>
    </row>
    <row r="22" spans="1:13" ht="14.5" x14ac:dyDescent="0.35">
      <c r="A22" s="25" t="s">
        <v>176</v>
      </c>
      <c r="B22" s="12"/>
      <c r="C22" s="251">
        <v>33210</v>
      </c>
      <c r="D22" s="13">
        <v>33210</v>
      </c>
      <c r="E22" s="13">
        <v>33210</v>
      </c>
      <c r="F22" s="13">
        <v>33210</v>
      </c>
      <c r="G22" s="13">
        <v>33210</v>
      </c>
      <c r="H22" s="157"/>
      <c r="I22"/>
      <c r="J22" s="14">
        <f t="shared" si="4"/>
        <v>33210</v>
      </c>
      <c r="K22" s="14">
        <f t="shared" si="5"/>
        <v>166050</v>
      </c>
      <c r="M22" s="187"/>
    </row>
    <row r="23" spans="1:13" ht="14.5" x14ac:dyDescent="0.35">
      <c r="A23" s="25" t="s">
        <v>182</v>
      </c>
      <c r="B23" s="12"/>
      <c r="C23" s="251"/>
      <c r="D23" s="13"/>
      <c r="E23" s="13"/>
      <c r="F23" s="13"/>
      <c r="G23" s="13"/>
      <c r="H23" s="157"/>
      <c r="I23"/>
      <c r="J23" s="14">
        <f t="shared" si="4"/>
        <v>0</v>
      </c>
      <c r="K23" s="14">
        <f t="shared" si="5"/>
        <v>0</v>
      </c>
      <c r="M23" s="187"/>
    </row>
    <row r="24" spans="1:13" s="5" customFormat="1" ht="14.5" x14ac:dyDescent="0.35">
      <c r="A24" s="25" t="s">
        <v>6</v>
      </c>
      <c r="B24" s="12"/>
      <c r="C24" s="251">
        <v>51795</v>
      </c>
      <c r="D24" s="13">
        <v>69060</v>
      </c>
      <c r="E24" s="13">
        <v>69060</v>
      </c>
      <c r="F24" s="13">
        <v>69060</v>
      </c>
      <c r="G24" s="13">
        <v>69060</v>
      </c>
      <c r="H24" s="157">
        <v>69060</v>
      </c>
      <c r="I24"/>
      <c r="J24" s="14">
        <f t="shared" si="4"/>
        <v>66182.5</v>
      </c>
      <c r="K24" s="14">
        <f t="shared" si="5"/>
        <v>397095</v>
      </c>
      <c r="M24" s="187" t="s">
        <v>316</v>
      </c>
    </row>
    <row r="25" spans="1:13" ht="14.5" x14ac:dyDescent="0.35">
      <c r="A25" s="25" t="s">
        <v>196</v>
      </c>
      <c r="B25" s="12"/>
      <c r="C25" s="251">
        <v>2007.3138750000001</v>
      </c>
      <c r="D25" s="13">
        <v>2438.1367500000001</v>
      </c>
      <c r="E25" s="13">
        <v>2438.1367500000001</v>
      </c>
      <c r="F25" s="13">
        <v>2438.1367500000001</v>
      </c>
      <c r="G25" s="13">
        <v>2438.1367500000001</v>
      </c>
      <c r="H25" s="157">
        <v>1723.2915</v>
      </c>
      <c r="I25"/>
      <c r="J25" s="14">
        <f t="shared" si="4"/>
        <v>2247.1920624999998</v>
      </c>
      <c r="K25" s="14">
        <f t="shared" si="5"/>
        <v>13483.152375</v>
      </c>
      <c r="M25" s="187"/>
    </row>
    <row r="26" spans="1:13" ht="14.5" x14ac:dyDescent="0.35">
      <c r="A26" s="21" t="s">
        <v>200</v>
      </c>
      <c r="B26" s="150"/>
      <c r="C26" s="23"/>
      <c r="D26" s="23"/>
      <c r="E26" s="23"/>
      <c r="F26" s="23"/>
      <c r="G26" s="23"/>
      <c r="H26" s="178"/>
      <c r="I26"/>
      <c r="J26" s="24">
        <f t="shared" si="4"/>
        <v>0</v>
      </c>
      <c r="K26" s="24">
        <f t="shared" si="5"/>
        <v>0</v>
      </c>
      <c r="M26" s="188"/>
    </row>
    <row r="27" spans="1:13" ht="14.5" x14ac:dyDescent="0.35">
      <c r="A27" s="18" t="s">
        <v>208</v>
      </c>
      <c r="B27" s="57"/>
      <c r="C27" s="19">
        <f>C13+C17+C26</f>
        <v>99027.484500000006</v>
      </c>
      <c r="D27" s="19">
        <f t="shared" ref="D27:H27" si="7">D13+D17+D26</f>
        <v>120281.413</v>
      </c>
      <c r="E27" s="19">
        <f t="shared" si="7"/>
        <v>120281.413</v>
      </c>
      <c r="F27" s="19">
        <f t="shared" si="7"/>
        <v>120281.413</v>
      </c>
      <c r="G27" s="19">
        <f t="shared" si="7"/>
        <v>120281.413</v>
      </c>
      <c r="H27" s="35">
        <f t="shared" si="7"/>
        <v>85015.714000000007</v>
      </c>
      <c r="I27"/>
      <c r="J27" s="20">
        <f t="shared" si="4"/>
        <v>110861.47508333334</v>
      </c>
      <c r="K27" s="20">
        <f t="shared" si="5"/>
        <v>665168.85050000006</v>
      </c>
      <c r="M27" s="188"/>
    </row>
    <row r="28" spans="1:13" ht="14.5" x14ac:dyDescent="0.35">
      <c r="B28" s="30"/>
      <c r="C28" s="2"/>
      <c r="D28" s="2"/>
      <c r="E28" s="2"/>
      <c r="F28" s="2"/>
      <c r="G28" s="2"/>
      <c r="H28" s="2"/>
      <c r="I28"/>
      <c r="J28" s="2"/>
      <c r="K28" s="2"/>
      <c r="M28" s="11"/>
    </row>
    <row r="29" spans="1:13" ht="14.5" x14ac:dyDescent="0.35">
      <c r="A29" s="111" t="s">
        <v>202</v>
      </c>
      <c r="B29" s="112"/>
      <c r="C29" s="236">
        <f>C25/C27</f>
        <v>2.0270270270270268E-2</v>
      </c>
      <c r="D29" s="236">
        <f t="shared" ref="D29:H29" si="8">D25/D27</f>
        <v>2.0270270270270271E-2</v>
      </c>
      <c r="E29" s="236">
        <f t="shared" si="8"/>
        <v>2.0270270270270271E-2</v>
      </c>
      <c r="F29" s="236">
        <f t="shared" si="8"/>
        <v>2.0270270270270271E-2</v>
      </c>
      <c r="G29" s="236">
        <f t="shared" si="8"/>
        <v>2.0270270270270271E-2</v>
      </c>
      <c r="H29" s="237">
        <f t="shared" si="8"/>
        <v>2.0270270270270268E-2</v>
      </c>
      <c r="I29" s="240"/>
      <c r="J29" s="241">
        <f t="shared" ref="J29:K29" si="9">J25/J27</f>
        <v>2.0270270270270268E-2</v>
      </c>
      <c r="K29" s="236">
        <f t="shared" si="9"/>
        <v>2.0270270270270268E-2</v>
      </c>
    </row>
    <row r="30" spans="1:13" ht="14.5" x14ac:dyDescent="0.35">
      <c r="I30"/>
    </row>
    <row r="31" spans="1:13" ht="14.5" x14ac:dyDescent="0.35">
      <c r="I31"/>
    </row>
    <row r="32" spans="1:13" ht="14.5" x14ac:dyDescent="0.35">
      <c r="I32"/>
    </row>
    <row r="33" spans="9:9" ht="14.5" x14ac:dyDescent="0.35">
      <c r="I33"/>
    </row>
  </sheetData>
  <mergeCells count="7">
    <mergeCell ref="A1:K1"/>
    <mergeCell ref="A4:A5"/>
    <mergeCell ref="B4:B5"/>
    <mergeCell ref="M4:M5"/>
    <mergeCell ref="A11:A12"/>
    <mergeCell ref="B11:B12"/>
    <mergeCell ref="M11:M12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&amp;L&amp;F&amp;R&amp;A</oddHeader>
    <oddFooter>&amp;L&amp;D&amp;C&amp;P/&amp;N&amp;R&amp;T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13CC-4A3C-458F-A94A-B99F9102CD56}">
  <sheetPr codeName="Sheet33">
    <tabColor theme="4" tint="0.59999389629810485"/>
    <pageSetUpPr fitToPage="1"/>
  </sheetPr>
  <dimension ref="A1:M33"/>
  <sheetViews>
    <sheetView showGridLines="0" zoomScale="85" zoomScaleNormal="85" workbookViewId="0">
      <selection activeCell="C4" sqref="C4:H4"/>
    </sheetView>
  </sheetViews>
  <sheetFormatPr baseColWidth="10" defaultColWidth="11.26953125" defaultRowHeight="13" x14ac:dyDescent="0.3"/>
  <cols>
    <col min="1" max="1" width="34.7265625" style="2" customWidth="1"/>
    <col min="2" max="2" width="11" style="17" customWidth="1"/>
    <col min="3" max="8" width="11" style="28" customWidth="1"/>
    <col min="9" max="9" width="6.7265625" style="28" customWidth="1"/>
    <col min="10" max="11" width="11" style="28" customWidth="1"/>
    <col min="12" max="12" width="11.26953125" style="2"/>
    <col min="13" max="13" width="20.26953125" style="2" bestFit="1" customWidth="1"/>
    <col min="14" max="16384" width="11.26953125" style="2"/>
  </cols>
  <sheetData>
    <row r="1" spans="1:13" ht="25.4" customHeight="1" x14ac:dyDescent="0.3">
      <c r="A1" s="680" t="s">
        <v>516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1"/>
    </row>
    <row r="3" spans="1:13" customFormat="1" ht="14.5" x14ac:dyDescent="0.35"/>
    <row r="4" spans="1:13" ht="13.15" customHeight="1" x14ac:dyDescent="0.35">
      <c r="A4" s="666" t="s">
        <v>201</v>
      </c>
      <c r="B4" s="678" t="s">
        <v>0</v>
      </c>
      <c r="C4" s="291" t="s">
        <v>425</v>
      </c>
      <c r="D4" s="291" t="s">
        <v>565</v>
      </c>
      <c r="E4" s="291" t="s">
        <v>566</v>
      </c>
      <c r="F4" s="291" t="s">
        <v>567</v>
      </c>
      <c r="G4" s="291" t="s">
        <v>568</v>
      </c>
      <c r="H4" s="291" t="s">
        <v>569</v>
      </c>
      <c r="I4"/>
      <c r="J4" s="179" t="s">
        <v>295</v>
      </c>
      <c r="K4" s="179" t="s">
        <v>296</v>
      </c>
      <c r="M4" s="683" t="s">
        <v>305</v>
      </c>
    </row>
    <row r="5" spans="1:13" ht="22.9" customHeight="1" x14ac:dyDescent="0.35">
      <c r="A5" s="667"/>
      <c r="B5" s="679"/>
      <c r="C5" s="77">
        <v>12</v>
      </c>
      <c r="D5" s="77">
        <v>12</v>
      </c>
      <c r="E5" s="77">
        <v>12</v>
      </c>
      <c r="F5" s="77">
        <v>12</v>
      </c>
      <c r="G5" s="77">
        <v>12</v>
      </c>
      <c r="H5" s="181">
        <v>12</v>
      </c>
      <c r="I5"/>
      <c r="J5" s="78">
        <v>12</v>
      </c>
      <c r="K5" s="78">
        <v>12</v>
      </c>
      <c r="M5" s="684"/>
    </row>
    <row r="6" spans="1:13" s="5" customFormat="1" ht="14.5" x14ac:dyDescent="0.35">
      <c r="A6" s="580" t="s">
        <v>66</v>
      </c>
      <c r="B6" s="8"/>
      <c r="C6" s="572"/>
      <c r="D6" s="572"/>
      <c r="E6" s="572"/>
      <c r="F6" s="572"/>
      <c r="G6" s="572"/>
      <c r="H6" s="329"/>
      <c r="I6"/>
      <c r="J6" s="10">
        <f t="shared" ref="J6:J8" si="0">IFERROR(AVERAGE(C6:H6),0)</f>
        <v>0</v>
      </c>
      <c r="K6" s="10">
        <f t="shared" ref="K6:K8" si="1">SUM(C6:H6)</f>
        <v>0</v>
      </c>
      <c r="M6" s="186"/>
    </row>
    <row r="7" spans="1:13" ht="14.5" x14ac:dyDescent="0.35">
      <c r="A7" s="581" t="s">
        <v>67</v>
      </c>
      <c r="B7" s="15"/>
      <c r="C7" s="106">
        <v>253.125</v>
      </c>
      <c r="D7" s="106">
        <v>562.5</v>
      </c>
      <c r="E7" s="106">
        <v>900.00000000000011</v>
      </c>
      <c r="F7" s="106">
        <v>1312.5</v>
      </c>
      <c r="G7" s="106">
        <v>1612.5</v>
      </c>
      <c r="H7" s="183">
        <v>2100.0000000000005</v>
      </c>
      <c r="I7"/>
      <c r="J7" s="582">
        <f t="shared" si="0"/>
        <v>1123.4375</v>
      </c>
      <c r="K7" s="16">
        <f t="shared" si="1"/>
        <v>6740.625</v>
      </c>
      <c r="M7" s="187"/>
    </row>
    <row r="8" spans="1:13" ht="14.5" x14ac:dyDescent="0.35">
      <c r="A8" s="18" t="s">
        <v>207</v>
      </c>
      <c r="B8" s="68"/>
      <c r="C8" s="19">
        <f>C6+C7</f>
        <v>253.125</v>
      </c>
      <c r="D8" s="19">
        <f t="shared" ref="D8:H8" si="2">D6+D7</f>
        <v>562.5</v>
      </c>
      <c r="E8" s="19">
        <f t="shared" si="2"/>
        <v>900.00000000000011</v>
      </c>
      <c r="F8" s="19">
        <f t="shared" si="2"/>
        <v>1312.5</v>
      </c>
      <c r="G8" s="19">
        <f t="shared" si="2"/>
        <v>1612.5</v>
      </c>
      <c r="H8" s="35">
        <f t="shared" si="2"/>
        <v>2100.0000000000005</v>
      </c>
      <c r="I8"/>
      <c r="J8" s="60">
        <f t="shared" si="0"/>
        <v>1123.4375</v>
      </c>
      <c r="K8" s="20">
        <f t="shared" si="1"/>
        <v>6740.625</v>
      </c>
      <c r="M8" s="188"/>
    </row>
    <row r="9" spans="1:13" ht="14.5" x14ac:dyDescent="0.35">
      <c r="C9" s="13"/>
      <c r="D9" s="13"/>
      <c r="E9" s="13"/>
      <c r="F9" s="13"/>
      <c r="G9" s="13"/>
      <c r="H9" s="13"/>
      <c r="I9"/>
      <c r="J9" s="13"/>
      <c r="K9" s="13"/>
    </row>
    <row r="10" spans="1:13" ht="14.5" x14ac:dyDescent="0.35">
      <c r="C10" s="13"/>
      <c r="D10" s="13"/>
      <c r="E10" s="13"/>
      <c r="F10" s="13"/>
      <c r="G10" s="13"/>
      <c r="H10" s="13"/>
      <c r="I10"/>
      <c r="J10" s="13"/>
      <c r="K10" s="13"/>
      <c r="M10"/>
    </row>
    <row r="11" spans="1:13" ht="26" x14ac:dyDescent="0.35">
      <c r="A11" s="666" t="s">
        <v>198</v>
      </c>
      <c r="B11" s="678" t="s">
        <v>0</v>
      </c>
      <c r="C11" s="291" t="s">
        <v>425</v>
      </c>
      <c r="D11" s="291" t="s">
        <v>565</v>
      </c>
      <c r="E11" s="291" t="s">
        <v>566</v>
      </c>
      <c r="F11" s="291" t="s">
        <v>567</v>
      </c>
      <c r="G11" s="291" t="s">
        <v>568</v>
      </c>
      <c r="H11" s="291" t="s">
        <v>569</v>
      </c>
      <c r="I11"/>
      <c r="J11" s="179" t="s">
        <v>271</v>
      </c>
      <c r="K11" s="179" t="s">
        <v>62</v>
      </c>
      <c r="M11" s="685" t="s">
        <v>305</v>
      </c>
    </row>
    <row r="12" spans="1:13" ht="14.5" x14ac:dyDescent="0.35">
      <c r="A12" s="667"/>
      <c r="B12" s="679"/>
      <c r="C12" s="77">
        <v>12</v>
      </c>
      <c r="D12" s="77">
        <v>12</v>
      </c>
      <c r="E12" s="77">
        <v>12</v>
      </c>
      <c r="F12" s="77">
        <v>12</v>
      </c>
      <c r="G12" s="77">
        <v>12</v>
      </c>
      <c r="H12" s="181">
        <v>12</v>
      </c>
      <c r="I12"/>
      <c r="J12" s="78">
        <v>12</v>
      </c>
      <c r="K12" s="78">
        <v>72</v>
      </c>
      <c r="M12" s="685"/>
    </row>
    <row r="13" spans="1:13" s="5" customFormat="1" ht="14.5" x14ac:dyDescent="0.35">
      <c r="A13" s="21" t="s">
        <v>197</v>
      </c>
      <c r="B13" s="151"/>
      <c r="C13" s="110">
        <f>SUM(C14:C16)</f>
        <v>0</v>
      </c>
      <c r="D13" s="110">
        <f t="shared" ref="D13:H13" si="3">SUM(D14:D16)</f>
        <v>11000</v>
      </c>
      <c r="E13" s="110">
        <f t="shared" si="3"/>
        <v>11000</v>
      </c>
      <c r="F13" s="110">
        <f t="shared" si="3"/>
        <v>11000</v>
      </c>
      <c r="G13" s="110">
        <f t="shared" si="3"/>
        <v>11000</v>
      </c>
      <c r="H13" s="184">
        <f t="shared" si="3"/>
        <v>11000</v>
      </c>
      <c r="I13"/>
      <c r="J13" s="24">
        <f>IFERROR(AVERAGE(C13:H13),0)</f>
        <v>9166.6666666666661</v>
      </c>
      <c r="K13" s="24">
        <f>SUM(C13:H13)</f>
        <v>55000</v>
      </c>
      <c r="M13" s="187"/>
    </row>
    <row r="14" spans="1:13" ht="14.5" x14ac:dyDescent="0.35">
      <c r="A14" s="25" t="s">
        <v>1</v>
      </c>
      <c r="B14" s="12"/>
      <c r="C14" s="13">
        <v>0</v>
      </c>
      <c r="D14" s="13">
        <v>11000</v>
      </c>
      <c r="E14" s="13">
        <v>11000</v>
      </c>
      <c r="F14" s="13">
        <v>11000</v>
      </c>
      <c r="G14" s="13">
        <v>11000</v>
      </c>
      <c r="H14" s="157">
        <v>11000</v>
      </c>
      <c r="I14"/>
      <c r="J14" s="14">
        <f t="shared" ref="J14:J27" si="4">IFERROR(AVERAGE(C14:H14),0)</f>
        <v>9166.6666666666661</v>
      </c>
      <c r="K14" s="14">
        <f t="shared" ref="K14:K27" si="5">SUM(C14:H14)</f>
        <v>55000</v>
      </c>
      <c r="M14" s="186"/>
    </row>
    <row r="15" spans="1:13" ht="14.5" x14ac:dyDescent="0.35">
      <c r="A15" s="25" t="s">
        <v>167</v>
      </c>
      <c r="B15" s="12"/>
      <c r="C15" s="13"/>
      <c r="D15" s="13"/>
      <c r="E15" s="13"/>
      <c r="F15" s="13"/>
      <c r="G15" s="13"/>
      <c r="H15" s="157"/>
      <c r="I15"/>
      <c r="J15" s="14">
        <f t="shared" si="4"/>
        <v>0</v>
      </c>
      <c r="K15" s="14">
        <f t="shared" si="5"/>
        <v>0</v>
      </c>
      <c r="M15" s="187"/>
    </row>
    <row r="16" spans="1:13" ht="14.5" x14ac:dyDescent="0.35">
      <c r="A16" s="25" t="s">
        <v>2</v>
      </c>
      <c r="B16" s="12"/>
      <c r="C16" s="13"/>
      <c r="D16" s="13"/>
      <c r="E16" s="13"/>
      <c r="F16" s="13"/>
      <c r="G16" s="13"/>
      <c r="H16" s="157"/>
      <c r="I16"/>
      <c r="J16" s="14">
        <f t="shared" si="4"/>
        <v>0</v>
      </c>
      <c r="K16" s="14">
        <f t="shared" si="5"/>
        <v>0</v>
      </c>
      <c r="M16" s="187"/>
    </row>
    <row r="17" spans="1:13" s="5" customFormat="1" ht="14.5" x14ac:dyDescent="0.35">
      <c r="A17" s="21" t="s">
        <v>199</v>
      </c>
      <c r="B17" s="151"/>
      <c r="C17" s="23">
        <f>SUM(C18:C25)</f>
        <v>0</v>
      </c>
      <c r="D17" s="23">
        <f t="shared" ref="D17:G17" si="6">SUM(D18:D25)</f>
        <v>112127.51738</v>
      </c>
      <c r="E17" s="23">
        <f t="shared" si="6"/>
        <v>112127.51738</v>
      </c>
      <c r="F17" s="23">
        <f t="shared" si="6"/>
        <v>112127.51738</v>
      </c>
      <c r="G17" s="23">
        <f t="shared" si="6"/>
        <v>112127.51738</v>
      </c>
      <c r="H17" s="178">
        <f>SUM(H18:H25)</f>
        <v>112127.51738</v>
      </c>
      <c r="I17"/>
      <c r="J17" s="24">
        <f t="shared" si="4"/>
        <v>93439.597816666661</v>
      </c>
      <c r="K17" s="24">
        <f t="shared" si="5"/>
        <v>560637.58689999999</v>
      </c>
      <c r="M17" s="188"/>
    </row>
    <row r="18" spans="1:13" ht="14.5" x14ac:dyDescent="0.35">
      <c r="A18" s="25" t="s">
        <v>3</v>
      </c>
      <c r="B18" s="12"/>
      <c r="C18" s="251"/>
      <c r="D18" s="13"/>
      <c r="E18" s="13"/>
      <c r="F18" s="13"/>
      <c r="G18" s="13"/>
      <c r="H18" s="157"/>
      <c r="I18"/>
      <c r="J18" s="14">
        <f t="shared" si="4"/>
        <v>0</v>
      </c>
      <c r="K18" s="14">
        <f t="shared" si="5"/>
        <v>0</v>
      </c>
      <c r="M18" s="187" t="s">
        <v>318</v>
      </c>
    </row>
    <row r="19" spans="1:13" ht="14.5" x14ac:dyDescent="0.35">
      <c r="A19" s="25" t="s">
        <v>166</v>
      </c>
      <c r="B19" s="12"/>
      <c r="C19" s="251"/>
      <c r="D19" s="13"/>
      <c r="E19" s="13"/>
      <c r="F19" s="13"/>
      <c r="G19" s="13"/>
      <c r="H19" s="157"/>
      <c r="I19"/>
      <c r="J19" s="14">
        <f t="shared" si="4"/>
        <v>0</v>
      </c>
      <c r="K19" s="14">
        <f t="shared" si="5"/>
        <v>0</v>
      </c>
      <c r="M19" s="187"/>
    </row>
    <row r="20" spans="1:13" ht="14.5" x14ac:dyDescent="0.35">
      <c r="A20" s="25" t="s">
        <v>4</v>
      </c>
      <c r="B20" s="12"/>
      <c r="C20" s="251">
        <v>0</v>
      </c>
      <c r="D20" s="251">
        <v>2898.7550000000001</v>
      </c>
      <c r="E20" s="251">
        <v>2898.7550000000001</v>
      </c>
      <c r="F20" s="251">
        <v>2898.7550000000001</v>
      </c>
      <c r="G20" s="251">
        <v>2898.7550000000001</v>
      </c>
      <c r="H20" s="157">
        <v>2898.7550000000001</v>
      </c>
      <c r="I20"/>
      <c r="J20" s="14">
        <f t="shared" si="4"/>
        <v>2415.6291666666671</v>
      </c>
      <c r="K20" s="14">
        <f t="shared" si="5"/>
        <v>14493.775000000001</v>
      </c>
      <c r="M20" s="187" t="s">
        <v>319</v>
      </c>
    </row>
    <row r="21" spans="1:13" ht="14.5" x14ac:dyDescent="0.35">
      <c r="A21" s="25" t="s">
        <v>5</v>
      </c>
      <c r="B21" s="12"/>
      <c r="C21" s="251">
        <v>0</v>
      </c>
      <c r="D21" s="13">
        <v>1782.7343249999999</v>
      </c>
      <c r="E21" s="13">
        <v>1782.7343249999999</v>
      </c>
      <c r="F21" s="13">
        <v>1782.7343249999999</v>
      </c>
      <c r="G21" s="13">
        <v>1782.7343249999999</v>
      </c>
      <c r="H21" s="157">
        <v>1782.7343249999999</v>
      </c>
      <c r="I21"/>
      <c r="J21" s="14">
        <f t="shared" si="4"/>
        <v>1485.6119374999998</v>
      </c>
      <c r="K21" s="14">
        <f t="shared" si="5"/>
        <v>8913.671624999999</v>
      </c>
      <c r="M21" s="187"/>
    </row>
    <row r="22" spans="1:13" ht="14.5" x14ac:dyDescent="0.35">
      <c r="A22" s="25" t="s">
        <v>176</v>
      </c>
      <c r="B22" s="12"/>
      <c r="C22" s="251">
        <v>0</v>
      </c>
      <c r="D22" s="13">
        <v>33715.199999999997</v>
      </c>
      <c r="E22" s="13">
        <v>33715.199999999997</v>
      </c>
      <c r="F22" s="13">
        <v>33715.199999999997</v>
      </c>
      <c r="G22" s="13">
        <v>33715.199999999997</v>
      </c>
      <c r="H22" s="157">
        <v>33715.199999999997</v>
      </c>
      <c r="I22"/>
      <c r="J22" s="14">
        <f t="shared" si="4"/>
        <v>28096</v>
      </c>
      <c r="K22" s="14">
        <f t="shared" si="5"/>
        <v>168576</v>
      </c>
      <c r="M22" s="187"/>
    </row>
    <row r="23" spans="1:13" ht="14.5" x14ac:dyDescent="0.35">
      <c r="A23" s="25" t="s">
        <v>182</v>
      </c>
      <c r="B23" s="12"/>
      <c r="C23" s="251"/>
      <c r="D23" s="13"/>
      <c r="E23" s="13"/>
      <c r="F23" s="13"/>
      <c r="G23" s="13"/>
      <c r="H23" s="157"/>
      <c r="I23"/>
      <c r="J23" s="14">
        <f t="shared" si="4"/>
        <v>0</v>
      </c>
      <c r="K23" s="14">
        <f t="shared" si="5"/>
        <v>0</v>
      </c>
      <c r="M23" s="187"/>
    </row>
    <row r="24" spans="1:13" s="5" customFormat="1" ht="14.5" x14ac:dyDescent="0.35">
      <c r="A24" s="25" t="s">
        <v>6</v>
      </c>
      <c r="B24" s="12"/>
      <c r="C24" s="251">
        <v>0</v>
      </c>
      <c r="D24" s="13">
        <v>71235</v>
      </c>
      <c r="E24" s="13">
        <v>71235</v>
      </c>
      <c r="F24" s="13">
        <v>71235</v>
      </c>
      <c r="G24" s="13">
        <v>71235</v>
      </c>
      <c r="H24" s="157">
        <v>71235</v>
      </c>
      <c r="I24"/>
      <c r="J24" s="14">
        <f t="shared" si="4"/>
        <v>59362.5</v>
      </c>
      <c r="K24" s="14">
        <f t="shared" si="5"/>
        <v>356175</v>
      </c>
      <c r="M24" s="187" t="s">
        <v>316</v>
      </c>
    </row>
    <row r="25" spans="1:13" ht="14.5" x14ac:dyDescent="0.35">
      <c r="A25" s="25" t="s">
        <v>196</v>
      </c>
      <c r="B25" s="12"/>
      <c r="C25" s="251">
        <v>0</v>
      </c>
      <c r="D25" s="13">
        <v>2495.8280550000004</v>
      </c>
      <c r="E25" s="13">
        <v>2495.8280550000004</v>
      </c>
      <c r="F25" s="13">
        <v>2495.8280550000004</v>
      </c>
      <c r="G25" s="13">
        <v>2495.8280550000004</v>
      </c>
      <c r="H25" s="157">
        <v>2495.8280550000004</v>
      </c>
      <c r="I25"/>
      <c r="J25" s="14">
        <f t="shared" si="4"/>
        <v>2079.8567125000004</v>
      </c>
      <c r="K25" s="14">
        <f t="shared" si="5"/>
        <v>12479.140275000002</v>
      </c>
      <c r="M25" s="187"/>
    </row>
    <row r="26" spans="1:13" ht="14.5" x14ac:dyDescent="0.35">
      <c r="A26" s="21" t="s">
        <v>200</v>
      </c>
      <c r="B26" s="150"/>
      <c r="C26" s="23"/>
      <c r="D26" s="23"/>
      <c r="E26" s="23"/>
      <c r="F26" s="23"/>
      <c r="G26" s="23"/>
      <c r="H26" s="178"/>
      <c r="I26"/>
      <c r="J26" s="24">
        <f t="shared" si="4"/>
        <v>0</v>
      </c>
      <c r="K26" s="24">
        <f t="shared" si="5"/>
        <v>0</v>
      </c>
      <c r="M26" s="188"/>
    </row>
    <row r="27" spans="1:13" ht="14.5" x14ac:dyDescent="0.35">
      <c r="A27" s="18" t="s">
        <v>208</v>
      </c>
      <c r="B27" s="57"/>
      <c r="C27" s="19">
        <f>C13+C17+C26</f>
        <v>0</v>
      </c>
      <c r="D27" s="19">
        <f t="shared" ref="D27:H27" si="7">D13+D17+D26</f>
        <v>123127.51738</v>
      </c>
      <c r="E27" s="19">
        <f t="shared" si="7"/>
        <v>123127.51738</v>
      </c>
      <c r="F27" s="19">
        <f t="shared" si="7"/>
        <v>123127.51738</v>
      </c>
      <c r="G27" s="19">
        <f t="shared" si="7"/>
        <v>123127.51738</v>
      </c>
      <c r="H27" s="35">
        <f t="shared" si="7"/>
        <v>123127.51738</v>
      </c>
      <c r="I27"/>
      <c r="J27" s="20">
        <f t="shared" si="4"/>
        <v>102606.26448333333</v>
      </c>
      <c r="K27" s="20">
        <f t="shared" si="5"/>
        <v>615637.58689999999</v>
      </c>
      <c r="M27" s="188"/>
    </row>
    <row r="28" spans="1:13" ht="14.5" x14ac:dyDescent="0.35">
      <c r="B28" s="30"/>
      <c r="C28" s="2"/>
      <c r="D28" s="2"/>
      <c r="E28" s="2"/>
      <c r="F28" s="2"/>
      <c r="G28" s="2"/>
      <c r="H28" s="2"/>
      <c r="I28"/>
      <c r="J28" s="2"/>
      <c r="K28" s="2"/>
      <c r="M28" s="11"/>
    </row>
    <row r="29" spans="1:13" ht="14.5" x14ac:dyDescent="0.35">
      <c r="A29" s="111" t="s">
        <v>202</v>
      </c>
      <c r="B29" s="112"/>
      <c r="C29" s="236" t="e">
        <f>C25/C27</f>
        <v>#DIV/0!</v>
      </c>
      <c r="D29" s="236">
        <f t="shared" ref="D29:H29" si="8">D25/D27</f>
        <v>2.0270270270270271E-2</v>
      </c>
      <c r="E29" s="236">
        <f t="shared" si="8"/>
        <v>2.0270270270270271E-2</v>
      </c>
      <c r="F29" s="236">
        <f t="shared" si="8"/>
        <v>2.0270270270270271E-2</v>
      </c>
      <c r="G29" s="236">
        <f t="shared" si="8"/>
        <v>2.0270270270270271E-2</v>
      </c>
      <c r="H29" s="237">
        <f t="shared" si="8"/>
        <v>2.0270270270270271E-2</v>
      </c>
      <c r="I29" s="240"/>
      <c r="J29" s="241">
        <f t="shared" ref="J29:K29" si="9">J25/J27</f>
        <v>2.0270270270270275E-2</v>
      </c>
      <c r="K29" s="236">
        <f t="shared" si="9"/>
        <v>2.0270270270270271E-2</v>
      </c>
    </row>
    <row r="30" spans="1:13" ht="14.5" x14ac:dyDescent="0.35">
      <c r="I30"/>
    </row>
    <row r="31" spans="1:13" ht="14.5" x14ac:dyDescent="0.35">
      <c r="I31"/>
    </row>
    <row r="32" spans="1:13" ht="14.5" x14ac:dyDescent="0.35">
      <c r="I32"/>
    </row>
    <row r="33" spans="9:9" ht="14.5" x14ac:dyDescent="0.35">
      <c r="I33"/>
    </row>
  </sheetData>
  <mergeCells count="7">
    <mergeCell ref="A1:K1"/>
    <mergeCell ref="A4:A5"/>
    <mergeCell ref="B4:B5"/>
    <mergeCell ref="M4:M5"/>
    <mergeCell ref="A11:A12"/>
    <mergeCell ref="B11:B12"/>
    <mergeCell ref="M11:M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&amp;L&amp;F&amp;R&amp;A</oddHeader>
    <oddFooter>&amp;L&amp;D&amp;C&amp;P/&amp;N&amp;R&amp;T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9B63-8D77-40EC-AEFD-8DAEB5C7D7E3}">
  <sheetPr codeName="Sheet34">
    <tabColor theme="4" tint="0.59999389629810485"/>
    <pageSetUpPr fitToPage="1"/>
  </sheetPr>
  <dimension ref="A1:M33"/>
  <sheetViews>
    <sheetView showGridLines="0" zoomScale="85" zoomScaleNormal="85" workbookViewId="0">
      <selection activeCell="I38" sqref="I38"/>
    </sheetView>
  </sheetViews>
  <sheetFormatPr baseColWidth="10" defaultColWidth="11.26953125" defaultRowHeight="13" x14ac:dyDescent="0.3"/>
  <cols>
    <col min="1" max="1" width="34.7265625" style="2" customWidth="1"/>
    <col min="2" max="2" width="11" style="17" customWidth="1"/>
    <col min="3" max="8" width="11" style="28" customWidth="1"/>
    <col min="9" max="9" width="6.7265625" style="28" customWidth="1"/>
    <col min="10" max="11" width="11" style="28" customWidth="1"/>
    <col min="12" max="12" width="11.26953125" style="2"/>
    <col min="13" max="13" width="20.26953125" style="2" bestFit="1" customWidth="1"/>
    <col min="14" max="16384" width="11.26953125" style="2"/>
  </cols>
  <sheetData>
    <row r="1" spans="1:13" ht="25.4" customHeight="1" x14ac:dyDescent="0.3">
      <c r="A1" s="680" t="s">
        <v>571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1"/>
    </row>
    <row r="3" spans="1:13" customFormat="1" ht="14.5" x14ac:dyDescent="0.35"/>
    <row r="4" spans="1:13" ht="13.15" customHeight="1" x14ac:dyDescent="0.35">
      <c r="A4" s="666" t="s">
        <v>201</v>
      </c>
      <c r="B4" s="678" t="s">
        <v>0</v>
      </c>
      <c r="C4" s="291" t="s">
        <v>425</v>
      </c>
      <c r="D4" s="291" t="s">
        <v>565</v>
      </c>
      <c r="E4" s="291" t="s">
        <v>566</v>
      </c>
      <c r="F4" s="291" t="s">
        <v>567</v>
      </c>
      <c r="G4" s="291" t="s">
        <v>568</v>
      </c>
      <c r="H4" s="291" t="s">
        <v>569</v>
      </c>
      <c r="I4"/>
      <c r="J4" s="179" t="s">
        <v>295</v>
      </c>
      <c r="K4" s="179" t="s">
        <v>296</v>
      </c>
      <c r="M4" s="683" t="s">
        <v>305</v>
      </c>
    </row>
    <row r="5" spans="1:13" ht="22.9" customHeight="1" x14ac:dyDescent="0.35">
      <c r="A5" s="667"/>
      <c r="B5" s="679"/>
      <c r="C5" s="77">
        <v>12</v>
      </c>
      <c r="D5" s="77">
        <v>12</v>
      </c>
      <c r="E5" s="77">
        <v>12</v>
      </c>
      <c r="F5" s="77">
        <v>12</v>
      </c>
      <c r="G5" s="77">
        <v>12</v>
      </c>
      <c r="H5" s="181">
        <v>12</v>
      </c>
      <c r="I5"/>
      <c r="J5" s="78">
        <v>12</v>
      </c>
      <c r="K5" s="78">
        <v>12</v>
      </c>
      <c r="M5" s="684"/>
    </row>
    <row r="6" spans="1:13" s="5" customFormat="1" ht="14.5" x14ac:dyDescent="0.35">
      <c r="A6" s="580" t="s">
        <v>66</v>
      </c>
      <c r="B6" s="8"/>
      <c r="C6" s="572"/>
      <c r="D6" s="572"/>
      <c r="E6" s="572"/>
      <c r="F6" s="572"/>
      <c r="G6" s="572"/>
      <c r="H6" s="329"/>
      <c r="I6"/>
      <c r="J6" s="10">
        <f t="shared" ref="J6:J8" si="0">IFERROR(AVERAGE(C6:H6),0)</f>
        <v>0</v>
      </c>
      <c r="K6" s="10">
        <f t="shared" ref="K6:K8" si="1">SUM(C6:H6)</f>
        <v>0</v>
      </c>
      <c r="M6" s="186"/>
    </row>
    <row r="7" spans="1:13" ht="14.5" x14ac:dyDescent="0.35">
      <c r="A7" s="581" t="s">
        <v>67</v>
      </c>
      <c r="B7" s="15"/>
      <c r="C7" s="106">
        <v>840.5</v>
      </c>
      <c r="D7" s="106">
        <v>1269</v>
      </c>
      <c r="E7" s="106">
        <v>1850</v>
      </c>
      <c r="F7" s="106">
        <v>2508</v>
      </c>
      <c r="G7" s="106">
        <v>2623</v>
      </c>
      <c r="H7" s="183">
        <v>2790.5</v>
      </c>
      <c r="I7"/>
      <c r="J7" s="582">
        <f t="shared" si="0"/>
        <v>1980.1666666666667</v>
      </c>
      <c r="K7" s="16">
        <f t="shared" si="1"/>
        <v>11881</v>
      </c>
      <c r="M7" s="187"/>
    </row>
    <row r="8" spans="1:13" ht="14.5" x14ac:dyDescent="0.35">
      <c r="A8" s="18" t="s">
        <v>207</v>
      </c>
      <c r="B8" s="68"/>
      <c r="C8" s="19">
        <f>C6+C7</f>
        <v>840.5</v>
      </c>
      <c r="D8" s="19">
        <f t="shared" ref="D8:H8" si="2">D6+D7</f>
        <v>1269</v>
      </c>
      <c r="E8" s="19">
        <f t="shared" si="2"/>
        <v>1850</v>
      </c>
      <c r="F8" s="19">
        <f t="shared" si="2"/>
        <v>2508</v>
      </c>
      <c r="G8" s="19">
        <f t="shared" si="2"/>
        <v>2623</v>
      </c>
      <c r="H8" s="35">
        <f t="shared" si="2"/>
        <v>2790.5</v>
      </c>
      <c r="I8"/>
      <c r="J8" s="60">
        <f t="shared" si="0"/>
        <v>1980.1666666666667</v>
      </c>
      <c r="K8" s="20">
        <f t="shared" si="1"/>
        <v>11881</v>
      </c>
      <c r="M8" s="188"/>
    </row>
    <row r="9" spans="1:13" ht="14.5" x14ac:dyDescent="0.35">
      <c r="C9" s="13"/>
      <c r="D9" s="13"/>
      <c r="E9" s="13"/>
      <c r="F9" s="13"/>
      <c r="G9" s="13"/>
      <c r="H9" s="13"/>
      <c r="I9"/>
      <c r="J9" s="13"/>
      <c r="K9" s="13"/>
    </row>
    <row r="10" spans="1:13" ht="14.5" x14ac:dyDescent="0.35">
      <c r="C10" s="13"/>
      <c r="D10" s="13"/>
      <c r="E10" s="13"/>
      <c r="F10" s="13"/>
      <c r="G10" s="13"/>
      <c r="H10" s="13"/>
      <c r="I10"/>
      <c r="J10" s="13"/>
      <c r="K10" s="13"/>
      <c r="M10"/>
    </row>
    <row r="11" spans="1:13" ht="26" x14ac:dyDescent="0.35">
      <c r="A11" s="666" t="s">
        <v>198</v>
      </c>
      <c r="B11" s="678" t="s">
        <v>0</v>
      </c>
      <c r="C11" s="291" t="s">
        <v>425</v>
      </c>
      <c r="D11" s="291" t="s">
        <v>565</v>
      </c>
      <c r="E11" s="291" t="s">
        <v>566</v>
      </c>
      <c r="F11" s="291" t="s">
        <v>567</v>
      </c>
      <c r="G11" s="291" t="s">
        <v>568</v>
      </c>
      <c r="H11" s="291" t="s">
        <v>569</v>
      </c>
      <c r="I11"/>
      <c r="J11" s="179" t="s">
        <v>271</v>
      </c>
      <c r="K11" s="179" t="s">
        <v>62</v>
      </c>
      <c r="M11" s="685" t="s">
        <v>305</v>
      </c>
    </row>
    <row r="12" spans="1:13" ht="14.5" x14ac:dyDescent="0.35">
      <c r="A12" s="667"/>
      <c r="B12" s="679"/>
      <c r="C12" s="77">
        <v>12</v>
      </c>
      <c r="D12" s="77">
        <v>12</v>
      </c>
      <c r="E12" s="77">
        <v>12</v>
      </c>
      <c r="F12" s="77">
        <v>12</v>
      </c>
      <c r="G12" s="77">
        <v>12</v>
      </c>
      <c r="H12" s="181">
        <v>12</v>
      </c>
      <c r="I12"/>
      <c r="J12" s="78">
        <v>12</v>
      </c>
      <c r="K12" s="78">
        <v>72</v>
      </c>
      <c r="M12" s="685"/>
    </row>
    <row r="13" spans="1:13" s="5" customFormat="1" ht="14.5" x14ac:dyDescent="0.35">
      <c r="A13" s="21" t="s">
        <v>197</v>
      </c>
      <c r="B13" s="151"/>
      <c r="C13" s="110">
        <f>SUM(C14:C16)</f>
        <v>0</v>
      </c>
      <c r="D13" s="110">
        <f t="shared" ref="D13:H13" si="3">SUM(D14:D16)</f>
        <v>0</v>
      </c>
      <c r="E13" s="110">
        <f t="shared" si="3"/>
        <v>0</v>
      </c>
      <c r="F13" s="110">
        <f t="shared" si="3"/>
        <v>0</v>
      </c>
      <c r="G13" s="110">
        <f t="shared" si="3"/>
        <v>0</v>
      </c>
      <c r="H13" s="184">
        <f t="shared" si="3"/>
        <v>0</v>
      </c>
      <c r="I13"/>
      <c r="J13" s="24">
        <f>IFERROR(AVERAGE(C13:H13),0)</f>
        <v>0</v>
      </c>
      <c r="K13" s="24">
        <f>SUM(C13:H13)</f>
        <v>0</v>
      </c>
      <c r="M13" s="187"/>
    </row>
    <row r="14" spans="1:13" ht="14.5" x14ac:dyDescent="0.35">
      <c r="A14" s="25" t="s">
        <v>1</v>
      </c>
      <c r="B14" s="12"/>
      <c r="C14" s="13"/>
      <c r="D14" s="13"/>
      <c r="E14" s="13"/>
      <c r="F14" s="13"/>
      <c r="G14" s="13"/>
      <c r="H14" s="157"/>
      <c r="I14"/>
      <c r="J14" s="14">
        <f t="shared" ref="J14:J27" si="4">IFERROR(AVERAGE(C14:H14),0)</f>
        <v>0</v>
      </c>
      <c r="K14" s="14">
        <f t="shared" ref="K14:K27" si="5">SUM(C14:H14)</f>
        <v>0</v>
      </c>
      <c r="M14" s="186"/>
    </row>
    <row r="15" spans="1:13" ht="14.5" x14ac:dyDescent="0.35">
      <c r="A15" s="25" t="s">
        <v>167</v>
      </c>
      <c r="B15" s="12"/>
      <c r="C15" s="13"/>
      <c r="D15" s="13"/>
      <c r="E15" s="13"/>
      <c r="F15" s="13"/>
      <c r="G15" s="13"/>
      <c r="H15" s="157"/>
      <c r="I15"/>
      <c r="J15" s="14">
        <f t="shared" si="4"/>
        <v>0</v>
      </c>
      <c r="K15" s="14">
        <f t="shared" si="5"/>
        <v>0</v>
      </c>
      <c r="M15" s="187"/>
    </row>
    <row r="16" spans="1:13" ht="14.5" x14ac:dyDescent="0.35">
      <c r="A16" s="25" t="s">
        <v>2</v>
      </c>
      <c r="B16" s="12"/>
      <c r="C16" s="13"/>
      <c r="D16" s="13"/>
      <c r="E16" s="13"/>
      <c r="F16" s="13"/>
      <c r="G16" s="13"/>
      <c r="H16" s="157"/>
      <c r="I16"/>
      <c r="J16" s="14">
        <f t="shared" si="4"/>
        <v>0</v>
      </c>
      <c r="K16" s="14">
        <f t="shared" si="5"/>
        <v>0</v>
      </c>
      <c r="M16" s="187"/>
    </row>
    <row r="17" spans="1:13" s="5" customFormat="1" ht="14.5" x14ac:dyDescent="0.35">
      <c r="A17" s="21" t="s">
        <v>199</v>
      </c>
      <c r="B17" s="151"/>
      <c r="C17" s="23">
        <f>SUM(C18:C25)</f>
        <v>5429.8486666666677</v>
      </c>
      <c r="D17" s="23">
        <f t="shared" ref="D17:G17" si="6">SUM(D18:D25)</f>
        <v>7135.378055555555</v>
      </c>
      <c r="E17" s="23">
        <f t="shared" si="6"/>
        <v>14910.649185185184</v>
      </c>
      <c r="F17" s="23">
        <f t="shared" si="6"/>
        <v>8016.0995617283952</v>
      </c>
      <c r="G17" s="23">
        <f t="shared" si="6"/>
        <v>6675.3961872427981</v>
      </c>
      <c r="H17" s="178">
        <f>SUM(H18:H25)</f>
        <v>6228.4950624142657</v>
      </c>
      <c r="I17"/>
      <c r="J17" s="24">
        <f t="shared" si="4"/>
        <v>8065.9777864654761</v>
      </c>
      <c r="K17" s="24">
        <f t="shared" si="5"/>
        <v>48395.866718792859</v>
      </c>
      <c r="M17" s="188"/>
    </row>
    <row r="18" spans="1:13" ht="14.5" x14ac:dyDescent="0.35">
      <c r="A18" s="25" t="s">
        <v>3</v>
      </c>
      <c r="B18" s="12"/>
      <c r="C18" s="251"/>
      <c r="D18" s="13"/>
      <c r="E18" s="13"/>
      <c r="F18" s="13"/>
      <c r="G18" s="13"/>
      <c r="H18" s="157"/>
      <c r="I18"/>
      <c r="J18" s="14">
        <f t="shared" si="4"/>
        <v>0</v>
      </c>
      <c r="K18" s="14">
        <f t="shared" si="5"/>
        <v>0</v>
      </c>
      <c r="M18" s="187" t="s">
        <v>318</v>
      </c>
    </row>
    <row r="19" spans="1:13" ht="14.5" x14ac:dyDescent="0.35">
      <c r="A19" s="25" t="s">
        <v>166</v>
      </c>
      <c r="B19" s="12"/>
      <c r="C19" s="251"/>
      <c r="D19" s="13"/>
      <c r="E19" s="13"/>
      <c r="F19" s="13"/>
      <c r="G19" s="13"/>
      <c r="H19" s="157"/>
      <c r="I19"/>
      <c r="J19" s="14">
        <f t="shared" si="4"/>
        <v>0</v>
      </c>
      <c r="K19" s="14">
        <f t="shared" si="5"/>
        <v>0</v>
      </c>
      <c r="M19" s="187"/>
    </row>
    <row r="20" spans="1:13" ht="14.5" x14ac:dyDescent="0.35">
      <c r="A20" s="25" t="s">
        <v>4</v>
      </c>
      <c r="B20" s="12"/>
      <c r="C20" s="251">
        <v>127.83333333333336</v>
      </c>
      <c r="D20" s="251">
        <v>167.98611111111111</v>
      </c>
      <c r="E20" s="251">
        <v>351.03703703703707</v>
      </c>
      <c r="F20" s="251">
        <v>188.7206790123457</v>
      </c>
      <c r="G20" s="251">
        <v>157.15689300411523</v>
      </c>
      <c r="H20" s="157">
        <v>146.63563100137173</v>
      </c>
      <c r="I20"/>
      <c r="J20" s="14">
        <f t="shared" si="4"/>
        <v>189.89494741655236</v>
      </c>
      <c r="K20" s="14">
        <f t="shared" si="5"/>
        <v>1139.3696844993142</v>
      </c>
      <c r="M20" s="187" t="s">
        <v>319</v>
      </c>
    </row>
    <row r="21" spans="1:13" ht="14.5" x14ac:dyDescent="0.35">
      <c r="A21" s="25" t="s">
        <v>5</v>
      </c>
      <c r="B21" s="12"/>
      <c r="C21" s="251">
        <v>78.617500000000007</v>
      </c>
      <c r="D21" s="13">
        <v>103.31145833333333</v>
      </c>
      <c r="E21" s="13">
        <v>215.88777777777776</v>
      </c>
      <c r="F21" s="13">
        <v>116.06321759259259</v>
      </c>
      <c r="G21" s="13">
        <v>96.65148919753085</v>
      </c>
      <c r="H21" s="157">
        <v>90.180913065843612</v>
      </c>
      <c r="I21"/>
      <c r="J21" s="14">
        <f t="shared" si="4"/>
        <v>116.78539266117969</v>
      </c>
      <c r="K21" s="14">
        <f t="shared" si="5"/>
        <v>700.71235596707811</v>
      </c>
      <c r="M21" s="187"/>
    </row>
    <row r="22" spans="1:13" ht="14.5" x14ac:dyDescent="0.35">
      <c r="A22" s="25" t="s">
        <v>176</v>
      </c>
      <c r="B22" s="12"/>
      <c r="C22" s="251">
        <v>3933.3333333333335</v>
      </c>
      <c r="D22" s="13">
        <v>5244.4444444444443</v>
      </c>
      <c r="E22" s="13">
        <v>5681.4814814814818</v>
      </c>
      <c r="F22" s="13">
        <v>1893.827160493827</v>
      </c>
      <c r="G22" s="13">
        <v>631.27572016460908</v>
      </c>
      <c r="H22" s="157">
        <v>210.42524005486968</v>
      </c>
      <c r="I22"/>
      <c r="J22" s="14">
        <f t="shared" si="4"/>
        <v>2932.4645633287605</v>
      </c>
      <c r="K22" s="14">
        <f t="shared" si="5"/>
        <v>17594.787379972564</v>
      </c>
      <c r="M22" s="187"/>
    </row>
    <row r="23" spans="1:13" ht="14.5" x14ac:dyDescent="0.35">
      <c r="A23" s="25" t="s">
        <v>182</v>
      </c>
      <c r="B23" s="12"/>
      <c r="C23" s="251"/>
      <c r="D23" s="13"/>
      <c r="E23" s="13"/>
      <c r="F23" s="13"/>
      <c r="G23" s="13"/>
      <c r="H23" s="157"/>
      <c r="I23"/>
      <c r="J23" s="14">
        <f t="shared" si="4"/>
        <v>0</v>
      </c>
      <c r="K23" s="14">
        <f t="shared" si="5"/>
        <v>0</v>
      </c>
      <c r="M23" s="187"/>
    </row>
    <row r="24" spans="1:13" s="5" customFormat="1" ht="14.5" x14ac:dyDescent="0.35">
      <c r="A24" s="25" t="s">
        <v>6</v>
      </c>
      <c r="B24" s="12"/>
      <c r="C24" s="251">
        <v>1180</v>
      </c>
      <c r="D24" s="13">
        <v>1475</v>
      </c>
      <c r="E24" s="13">
        <v>8360</v>
      </c>
      <c r="F24" s="13">
        <v>5655</v>
      </c>
      <c r="G24" s="13">
        <v>5655</v>
      </c>
      <c r="H24" s="157">
        <v>5655</v>
      </c>
      <c r="I24"/>
      <c r="J24" s="14">
        <f t="shared" si="4"/>
        <v>4663.333333333333</v>
      </c>
      <c r="K24" s="14">
        <f t="shared" si="5"/>
        <v>27980</v>
      </c>
      <c r="M24" s="187" t="s">
        <v>316</v>
      </c>
    </row>
    <row r="25" spans="1:13" ht="14.5" x14ac:dyDescent="0.35">
      <c r="A25" s="25" t="s">
        <v>196</v>
      </c>
      <c r="B25" s="12"/>
      <c r="C25" s="251">
        <v>110.06450000000001</v>
      </c>
      <c r="D25" s="13">
        <v>144.63604166666667</v>
      </c>
      <c r="E25" s="13">
        <v>302.2428888888889</v>
      </c>
      <c r="F25" s="13">
        <v>162.48850462962963</v>
      </c>
      <c r="G25" s="13">
        <v>135.31208487654322</v>
      </c>
      <c r="H25" s="157">
        <v>126.25327829218107</v>
      </c>
      <c r="I25"/>
      <c r="J25" s="14">
        <f t="shared" si="4"/>
        <v>163.49954972565158</v>
      </c>
      <c r="K25" s="14">
        <f t="shared" si="5"/>
        <v>980.99729835390951</v>
      </c>
      <c r="M25" s="187"/>
    </row>
    <row r="26" spans="1:13" ht="14.5" x14ac:dyDescent="0.35">
      <c r="A26" s="21" t="s">
        <v>200</v>
      </c>
      <c r="B26" s="150"/>
      <c r="C26" s="23"/>
      <c r="D26" s="23"/>
      <c r="E26" s="23"/>
      <c r="F26" s="23"/>
      <c r="G26" s="23"/>
      <c r="H26" s="178"/>
      <c r="I26"/>
      <c r="J26" s="24">
        <f t="shared" si="4"/>
        <v>0</v>
      </c>
      <c r="K26" s="24">
        <f t="shared" si="5"/>
        <v>0</v>
      </c>
      <c r="M26" s="188"/>
    </row>
    <row r="27" spans="1:13" ht="14.5" x14ac:dyDescent="0.35">
      <c r="A27" s="18" t="s">
        <v>208</v>
      </c>
      <c r="B27" s="57"/>
      <c r="C27" s="19">
        <f>C13+C17+C26</f>
        <v>5429.8486666666677</v>
      </c>
      <c r="D27" s="19">
        <f t="shared" ref="D27:H27" si="7">D13+D17+D26</f>
        <v>7135.378055555555</v>
      </c>
      <c r="E27" s="19">
        <f t="shared" si="7"/>
        <v>14910.649185185184</v>
      </c>
      <c r="F27" s="19">
        <f t="shared" si="7"/>
        <v>8016.0995617283952</v>
      </c>
      <c r="G27" s="19">
        <f t="shared" si="7"/>
        <v>6675.3961872427981</v>
      </c>
      <c r="H27" s="35">
        <f t="shared" si="7"/>
        <v>6228.4950624142657</v>
      </c>
      <c r="I27"/>
      <c r="J27" s="20">
        <f t="shared" si="4"/>
        <v>8065.9777864654761</v>
      </c>
      <c r="K27" s="20">
        <f t="shared" si="5"/>
        <v>48395.866718792859</v>
      </c>
      <c r="M27" s="188"/>
    </row>
    <row r="28" spans="1:13" ht="14.5" x14ac:dyDescent="0.35">
      <c r="B28" s="30"/>
      <c r="C28" s="2"/>
      <c r="D28" s="2"/>
      <c r="E28" s="2"/>
      <c r="F28" s="2"/>
      <c r="G28" s="2"/>
      <c r="H28" s="2"/>
      <c r="I28"/>
      <c r="J28" s="2"/>
      <c r="K28" s="2"/>
      <c r="M28" s="11"/>
    </row>
    <row r="29" spans="1:13" ht="14.5" x14ac:dyDescent="0.35">
      <c r="A29" s="111" t="s">
        <v>202</v>
      </c>
      <c r="B29" s="112"/>
      <c r="C29" s="236">
        <f>C25/C27</f>
        <v>2.0270270270270268E-2</v>
      </c>
      <c r="D29" s="236">
        <f t="shared" ref="D29:H29" si="8">D25/D27</f>
        <v>2.0270270270270271E-2</v>
      </c>
      <c r="E29" s="236">
        <f t="shared" si="8"/>
        <v>2.0270270270270271E-2</v>
      </c>
      <c r="F29" s="236">
        <f t="shared" si="8"/>
        <v>2.0270270270270271E-2</v>
      </c>
      <c r="G29" s="236">
        <f t="shared" si="8"/>
        <v>2.0270270270270275E-2</v>
      </c>
      <c r="H29" s="237">
        <f t="shared" si="8"/>
        <v>2.0270270270270271E-2</v>
      </c>
      <c r="I29" s="240"/>
      <c r="J29" s="241">
        <f t="shared" ref="J29:K29" si="9">J25/J27</f>
        <v>2.0270270270270275E-2</v>
      </c>
      <c r="K29" s="236">
        <f t="shared" si="9"/>
        <v>2.0270270270270275E-2</v>
      </c>
    </row>
    <row r="30" spans="1:13" ht="14.5" x14ac:dyDescent="0.35">
      <c r="I30"/>
    </row>
    <row r="31" spans="1:13" ht="14.5" x14ac:dyDescent="0.35">
      <c r="I31"/>
    </row>
    <row r="32" spans="1:13" ht="14.5" x14ac:dyDescent="0.35">
      <c r="I32"/>
    </row>
    <row r="33" spans="9:9" ht="14.5" x14ac:dyDescent="0.35">
      <c r="I33"/>
    </row>
  </sheetData>
  <mergeCells count="7">
    <mergeCell ref="A1:K1"/>
    <mergeCell ref="A4:A5"/>
    <mergeCell ref="B4:B5"/>
    <mergeCell ref="M4:M5"/>
    <mergeCell ref="A11:A12"/>
    <mergeCell ref="B11:B12"/>
    <mergeCell ref="M11:M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&amp;L&amp;F&amp;R&amp;A</oddHeader>
    <oddFooter>&amp;L&amp;D&amp;C&amp;P/&amp;N&amp;R&amp;T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">
    <tabColor theme="7" tint="0.59999389629810485"/>
    <pageSetUpPr fitToPage="1"/>
  </sheetPr>
  <dimension ref="A1:I40"/>
  <sheetViews>
    <sheetView showGridLines="0" zoomScale="85" zoomScaleNormal="85" workbookViewId="0">
      <selection activeCell="G34" sqref="G34"/>
    </sheetView>
  </sheetViews>
  <sheetFormatPr baseColWidth="10" defaultColWidth="11.26953125" defaultRowHeight="13" x14ac:dyDescent="0.3"/>
  <cols>
    <col min="1" max="1" width="42.453125" style="2" customWidth="1"/>
    <col min="2" max="8" width="12.453125" style="2" customWidth="1"/>
    <col min="9" max="16384" width="11.26953125" style="2"/>
  </cols>
  <sheetData>
    <row r="1" spans="1:9" ht="30" customHeight="1" x14ac:dyDescent="0.3">
      <c r="A1" s="680" t="s">
        <v>327</v>
      </c>
      <c r="B1" s="689"/>
      <c r="C1" s="689"/>
      <c r="D1" s="689"/>
      <c r="E1" s="689"/>
      <c r="F1" s="689"/>
      <c r="G1" s="689"/>
      <c r="H1" s="690"/>
      <c r="I1" s="1"/>
    </row>
    <row r="2" spans="1:9" x14ac:dyDescent="0.3">
      <c r="B2" s="28"/>
      <c r="C2" s="28"/>
      <c r="D2" s="28"/>
      <c r="E2" s="28"/>
      <c r="F2" s="28"/>
      <c r="G2" s="28"/>
      <c r="H2" s="28"/>
    </row>
    <row r="3" spans="1:9" ht="13.15" customHeight="1" x14ac:dyDescent="0.3">
      <c r="A3" s="119" t="s">
        <v>238</v>
      </c>
      <c r="B3" s="3">
        <v>2017</v>
      </c>
      <c r="C3" s="3">
        <v>2018</v>
      </c>
      <c r="D3" s="3">
        <v>2019</v>
      </c>
      <c r="E3" s="3">
        <v>2020</v>
      </c>
      <c r="F3" s="3">
        <v>2021</v>
      </c>
      <c r="G3" s="3">
        <v>2022</v>
      </c>
      <c r="H3" s="120">
        <v>2023</v>
      </c>
    </row>
    <row r="4" spans="1:9" x14ac:dyDescent="0.3">
      <c r="A4" s="121" t="s">
        <v>239</v>
      </c>
      <c r="B4" s="123">
        <v>635920.95238095243</v>
      </c>
      <c r="C4" s="123">
        <v>864080.57142857159</v>
      </c>
      <c r="D4" s="123">
        <v>553941.19047619065</v>
      </c>
      <c r="E4" s="123">
        <v>248794.14285714302</v>
      </c>
      <c r="F4" s="123">
        <v>110404.76190476207</v>
      </c>
      <c r="G4" s="123">
        <v>87785.71428571445</v>
      </c>
      <c r="H4" s="123">
        <v>48500.00000000016</v>
      </c>
    </row>
    <row r="5" spans="1:9" s="89" customFormat="1" ht="15" customHeight="1" x14ac:dyDescent="0.35">
      <c r="A5" s="125" t="s">
        <v>240</v>
      </c>
      <c r="B5" s="127"/>
      <c r="C5" s="128"/>
      <c r="D5" s="128"/>
      <c r="E5" s="128"/>
      <c r="F5" s="128"/>
      <c r="G5" s="128"/>
      <c r="H5" s="128"/>
    </row>
    <row r="6" spans="1:9" x14ac:dyDescent="0.3">
      <c r="A6" s="129" t="s">
        <v>241</v>
      </c>
      <c r="B6" s="131"/>
      <c r="C6" s="132"/>
      <c r="D6" s="132"/>
      <c r="E6" s="132"/>
      <c r="F6" s="132"/>
      <c r="G6" s="132"/>
      <c r="H6" s="132"/>
    </row>
    <row r="7" spans="1:9" x14ac:dyDescent="0.3">
      <c r="A7" s="133" t="s">
        <v>242</v>
      </c>
      <c r="B7" s="135">
        <f>SUM(B4:B6)</f>
        <v>635920.95238095243</v>
      </c>
      <c r="C7" s="136">
        <f t="shared" ref="C7:H7" si="0">SUM(C4:C6)</f>
        <v>864080.57142857159</v>
      </c>
      <c r="D7" s="136">
        <f t="shared" si="0"/>
        <v>553941.19047619065</v>
      </c>
      <c r="E7" s="136">
        <f t="shared" si="0"/>
        <v>248794.14285714302</v>
      </c>
      <c r="F7" s="136">
        <f t="shared" si="0"/>
        <v>110404.76190476207</v>
      </c>
      <c r="G7" s="136">
        <f t="shared" si="0"/>
        <v>87785.71428571445</v>
      </c>
      <c r="H7" s="136">
        <f t="shared" si="0"/>
        <v>48500.00000000016</v>
      </c>
    </row>
    <row r="8" spans="1:9" ht="13.15" customHeight="1" x14ac:dyDescent="0.3">
      <c r="A8" s="121" t="s">
        <v>243</v>
      </c>
      <c r="B8" s="123"/>
      <c r="C8" s="124"/>
      <c r="D8" s="124"/>
      <c r="E8" s="124"/>
      <c r="F8" s="124"/>
      <c r="G8" s="124"/>
      <c r="H8" s="124"/>
    </row>
    <row r="9" spans="1:9" x14ac:dyDescent="0.3">
      <c r="A9" s="125" t="s">
        <v>266</v>
      </c>
      <c r="B9" s="127">
        <v>5159651.5210234383</v>
      </c>
      <c r="C9" s="127">
        <v>5327285.4357243674</v>
      </c>
      <c r="D9" s="127">
        <v>5860180.4317665808</v>
      </c>
      <c r="E9" s="127">
        <v>5919586.0838546604</v>
      </c>
      <c r="F9" s="127">
        <v>5925626.3833895521</v>
      </c>
      <c r="G9" s="127">
        <v>5964211.8681379138</v>
      </c>
      <c r="H9" s="127">
        <v>5929441.907525681</v>
      </c>
    </row>
    <row r="10" spans="1:9" x14ac:dyDescent="0.3">
      <c r="A10" s="125" t="s">
        <v>267</v>
      </c>
      <c r="B10" s="127"/>
      <c r="C10" s="128"/>
      <c r="D10" s="128"/>
      <c r="E10" s="128"/>
      <c r="F10" s="128"/>
      <c r="G10" s="128"/>
      <c r="H10" s="128"/>
    </row>
    <row r="11" spans="1:9" x14ac:dyDescent="0.3">
      <c r="A11" s="125" t="s">
        <v>263</v>
      </c>
      <c r="B11" s="127"/>
      <c r="C11" s="128"/>
      <c r="D11" s="128"/>
      <c r="E11" s="128"/>
      <c r="F11" s="128"/>
      <c r="G11" s="128"/>
      <c r="H11" s="128"/>
    </row>
    <row r="12" spans="1:9" x14ac:dyDescent="0.3">
      <c r="A12" s="125" t="s">
        <v>244</v>
      </c>
      <c r="B12" s="131">
        <v>1157426.1647587679</v>
      </c>
      <c r="C12" s="131">
        <v>878214.31001295149</v>
      </c>
      <c r="D12" s="131">
        <v>1249584.7387169022</v>
      </c>
      <c r="E12" s="131">
        <v>1605415.2453823937</v>
      </c>
      <c r="F12" s="131">
        <v>1760479.8650957886</v>
      </c>
      <c r="G12" s="131">
        <v>1814237.635137124</v>
      </c>
      <c r="H12" s="131">
        <v>1837635.6678165514</v>
      </c>
    </row>
    <row r="13" spans="1:9" x14ac:dyDescent="0.3">
      <c r="A13" s="133" t="s">
        <v>245</v>
      </c>
      <c r="B13" s="135">
        <f>SUM(B8:B12)</f>
        <v>6317077.6857822062</v>
      </c>
      <c r="C13" s="136">
        <f t="shared" ref="C13:H13" si="1">SUM(C8:C12)</f>
        <v>6205499.7457373189</v>
      </c>
      <c r="D13" s="136">
        <f t="shared" si="1"/>
        <v>7109765.170483483</v>
      </c>
      <c r="E13" s="136">
        <f t="shared" si="1"/>
        <v>7525001.3292370541</v>
      </c>
      <c r="F13" s="136">
        <f t="shared" si="1"/>
        <v>7686106.2484853407</v>
      </c>
      <c r="G13" s="136">
        <f t="shared" si="1"/>
        <v>7778449.5032750377</v>
      </c>
      <c r="H13" s="136">
        <f t="shared" si="1"/>
        <v>7767077.5753422324</v>
      </c>
    </row>
    <row r="14" spans="1:9" x14ac:dyDescent="0.3">
      <c r="A14" s="145" t="s">
        <v>246</v>
      </c>
      <c r="B14" s="146">
        <f>B7+B13</f>
        <v>6952998.6381631587</v>
      </c>
      <c r="C14" s="147">
        <f t="shared" ref="C14:H14" si="2">C7+C13</f>
        <v>7069580.3171658907</v>
      </c>
      <c r="D14" s="147">
        <f t="shared" si="2"/>
        <v>7663706.3609596733</v>
      </c>
      <c r="E14" s="147">
        <f t="shared" si="2"/>
        <v>7773795.4720941968</v>
      </c>
      <c r="F14" s="147">
        <f t="shared" si="2"/>
        <v>7796511.0103901029</v>
      </c>
      <c r="G14" s="147">
        <f t="shared" si="2"/>
        <v>7866235.2175607523</v>
      </c>
      <c r="H14" s="147">
        <f t="shared" si="2"/>
        <v>7815577.5753422324</v>
      </c>
    </row>
    <row r="15" spans="1:9" x14ac:dyDescent="0.3">
      <c r="B15" s="137"/>
      <c r="C15" s="137"/>
    </row>
    <row r="16" spans="1:9" x14ac:dyDescent="0.3">
      <c r="B16" s="137"/>
      <c r="C16" s="137"/>
    </row>
    <row r="17" spans="1:8" ht="13.15" customHeight="1" x14ac:dyDescent="0.3">
      <c r="A17" s="119" t="s">
        <v>247</v>
      </c>
      <c r="B17" s="119">
        <f t="shared" ref="B17:H17" si="3">B3</f>
        <v>2017</v>
      </c>
      <c r="C17" s="119">
        <f t="shared" si="3"/>
        <v>2018</v>
      </c>
      <c r="D17" s="119">
        <f t="shared" si="3"/>
        <v>2019</v>
      </c>
      <c r="E17" s="119">
        <f t="shared" si="3"/>
        <v>2020</v>
      </c>
      <c r="F17" s="119">
        <f t="shared" si="3"/>
        <v>2021</v>
      </c>
      <c r="G17" s="119">
        <f t="shared" si="3"/>
        <v>2022</v>
      </c>
      <c r="H17" s="45">
        <f t="shared" si="3"/>
        <v>2023</v>
      </c>
    </row>
    <row r="18" spans="1:8" x14ac:dyDescent="0.3">
      <c r="A18" s="138" t="s">
        <v>248</v>
      </c>
      <c r="B18" s="122">
        <v>771250.00000000012</v>
      </c>
      <c r="C18" s="122">
        <v>771250.00000000012</v>
      </c>
      <c r="D18" s="122">
        <v>771250.00000000012</v>
      </c>
      <c r="E18" s="122">
        <v>771250.00000000012</v>
      </c>
      <c r="F18" s="122">
        <v>771250.00000000012</v>
      </c>
      <c r="G18" s="122">
        <v>771250.00000000012</v>
      </c>
      <c r="H18" s="123">
        <v>771250.00000000012</v>
      </c>
    </row>
    <row r="19" spans="1:8" x14ac:dyDescent="0.3">
      <c r="A19" s="139" t="s">
        <v>249</v>
      </c>
      <c r="B19" s="126">
        <v>77125.000000000015</v>
      </c>
      <c r="C19" s="126">
        <v>77125.000000000015</v>
      </c>
      <c r="D19" s="126">
        <v>77125.000000000015</v>
      </c>
      <c r="E19" s="126">
        <v>77125.000000000015</v>
      </c>
      <c r="F19" s="126">
        <v>77125.000000000015</v>
      </c>
      <c r="G19" s="126">
        <v>77125.000000000015</v>
      </c>
      <c r="H19" s="127">
        <v>77125.000000000015</v>
      </c>
    </row>
    <row r="20" spans="1:8" x14ac:dyDescent="0.3">
      <c r="A20" s="139" t="s">
        <v>250</v>
      </c>
      <c r="B20" s="126"/>
      <c r="C20" s="126"/>
      <c r="D20" s="126"/>
      <c r="E20" s="126"/>
      <c r="F20" s="126"/>
      <c r="G20" s="126"/>
      <c r="H20" s="127"/>
    </row>
    <row r="21" spans="1:8" x14ac:dyDescent="0.3">
      <c r="A21" s="139" t="s">
        <v>251</v>
      </c>
      <c r="B21" s="126">
        <v>501672.36361741449</v>
      </c>
      <c r="C21" s="126">
        <v>517795.87121129426</v>
      </c>
      <c r="D21" s="126">
        <v>565746.62940034945</v>
      </c>
      <c r="E21" s="126">
        <v>571207.89862589166</v>
      </c>
      <c r="F21" s="126">
        <v>571331.69767502649</v>
      </c>
      <c r="G21" s="126">
        <v>574817.60395658668</v>
      </c>
      <c r="H21" s="131">
        <v>571417.5432870558</v>
      </c>
    </row>
    <row r="22" spans="1:8" x14ac:dyDescent="0.3">
      <c r="A22" s="133" t="s">
        <v>252</v>
      </c>
      <c r="B22" s="134">
        <f>SUM(B18:B21)</f>
        <v>1350047.3636174146</v>
      </c>
      <c r="C22" s="134">
        <f t="shared" ref="C22:H22" si="4">SUM(C18:C21)</f>
        <v>1366170.8712112943</v>
      </c>
      <c r="D22" s="134">
        <f t="shared" si="4"/>
        <v>1414121.6294003497</v>
      </c>
      <c r="E22" s="134">
        <f t="shared" si="4"/>
        <v>1419582.8986258917</v>
      </c>
      <c r="F22" s="134">
        <f t="shared" si="4"/>
        <v>1419706.6976750265</v>
      </c>
      <c r="G22" s="134">
        <f t="shared" si="4"/>
        <v>1423192.6039565867</v>
      </c>
      <c r="H22" s="135">
        <f t="shared" si="4"/>
        <v>1419792.543287056</v>
      </c>
    </row>
    <row r="23" spans="1:8" x14ac:dyDescent="0.3">
      <c r="A23" s="139" t="s">
        <v>253</v>
      </c>
      <c r="B23" s="126">
        <v>0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  <c r="H23" s="127">
        <v>0</v>
      </c>
    </row>
    <row r="24" spans="1:8" x14ac:dyDescent="0.3">
      <c r="A24" s="133" t="s">
        <v>254</v>
      </c>
      <c r="B24" s="134">
        <f>B23</f>
        <v>0</v>
      </c>
      <c r="C24" s="134">
        <f t="shared" ref="C24:H24" si="5">C23</f>
        <v>0</v>
      </c>
      <c r="D24" s="134">
        <f t="shared" si="5"/>
        <v>0</v>
      </c>
      <c r="E24" s="134">
        <f t="shared" si="5"/>
        <v>0</v>
      </c>
      <c r="F24" s="134">
        <f t="shared" si="5"/>
        <v>0</v>
      </c>
      <c r="G24" s="134">
        <f t="shared" si="5"/>
        <v>0</v>
      </c>
      <c r="H24" s="135">
        <f t="shared" si="5"/>
        <v>0</v>
      </c>
    </row>
    <row r="25" spans="1:8" x14ac:dyDescent="0.3">
      <c r="A25" s="139" t="s">
        <v>255</v>
      </c>
      <c r="B25" s="126"/>
      <c r="C25" s="126"/>
      <c r="D25" s="126"/>
      <c r="E25" s="126"/>
      <c r="F25" s="126"/>
      <c r="G25" s="126"/>
      <c r="H25" s="127"/>
    </row>
    <row r="26" spans="1:8" x14ac:dyDescent="0.3">
      <c r="A26" s="139" t="s">
        <v>268</v>
      </c>
      <c r="B26" s="126"/>
      <c r="C26" s="126"/>
      <c r="D26" s="126"/>
      <c r="E26" s="126"/>
      <c r="F26" s="126"/>
      <c r="G26" s="126"/>
      <c r="H26" s="127"/>
    </row>
    <row r="27" spans="1:8" x14ac:dyDescent="0.3">
      <c r="A27" s="139" t="s">
        <v>269</v>
      </c>
      <c r="B27" s="130"/>
      <c r="C27" s="130"/>
      <c r="D27" s="130"/>
      <c r="E27" s="130"/>
      <c r="F27" s="130"/>
      <c r="G27" s="130"/>
      <c r="H27" s="131"/>
    </row>
    <row r="28" spans="1:8" x14ac:dyDescent="0.3">
      <c r="A28" s="133" t="s">
        <v>256</v>
      </c>
      <c r="B28" s="134">
        <f>SUM(B25:B27)</f>
        <v>0</v>
      </c>
      <c r="C28" s="134">
        <f t="shared" ref="C28:H28" si="6">SUM(C25:C27)</f>
        <v>0</v>
      </c>
      <c r="D28" s="134">
        <f t="shared" si="6"/>
        <v>0</v>
      </c>
      <c r="E28" s="134">
        <f t="shared" si="6"/>
        <v>0</v>
      </c>
      <c r="F28" s="134">
        <f t="shared" si="6"/>
        <v>0</v>
      </c>
      <c r="G28" s="134">
        <f t="shared" si="6"/>
        <v>0</v>
      </c>
      <c r="H28" s="135">
        <f t="shared" si="6"/>
        <v>0</v>
      </c>
    </row>
    <row r="29" spans="1:8" x14ac:dyDescent="0.3">
      <c r="A29" s="139" t="s">
        <v>265</v>
      </c>
      <c r="B29" s="126">
        <v>4539885.8401051806</v>
      </c>
      <c r="C29" s="126">
        <v>4578222.7358178068</v>
      </c>
      <c r="D29" s="126">
        <v>5005503.4165497664</v>
      </c>
      <c r="E29" s="126">
        <v>5110256.3063682886</v>
      </c>
      <c r="F29" s="126">
        <v>5128477.8770483295</v>
      </c>
      <c r="G29" s="126">
        <v>5193880.7011384349</v>
      </c>
      <c r="H29" s="123">
        <v>5146218.784339725</v>
      </c>
    </row>
    <row r="30" spans="1:8" x14ac:dyDescent="0.3">
      <c r="A30" s="139" t="s">
        <v>257</v>
      </c>
      <c r="B30" s="126">
        <v>1063065.4344405637</v>
      </c>
      <c r="C30" s="126">
        <v>1125186.7101367898</v>
      </c>
      <c r="D30" s="126">
        <v>1244081.3150095574</v>
      </c>
      <c r="E30" s="126">
        <v>1243956.2671000168</v>
      </c>
      <c r="F30" s="126">
        <v>1248326.4356667467</v>
      </c>
      <c r="G30" s="126">
        <v>1249161.9124657304</v>
      </c>
      <c r="H30" s="127">
        <v>1249566.2477154506</v>
      </c>
    </row>
    <row r="31" spans="1:8" x14ac:dyDescent="0.3">
      <c r="A31" s="139" t="s">
        <v>264</v>
      </c>
      <c r="B31" s="126"/>
      <c r="C31" s="126"/>
      <c r="D31" s="126"/>
      <c r="E31" s="126"/>
      <c r="F31" s="126"/>
      <c r="G31" s="126"/>
      <c r="H31" s="127"/>
    </row>
    <row r="32" spans="1:8" x14ac:dyDescent="0.3">
      <c r="A32" s="133" t="s">
        <v>258</v>
      </c>
      <c r="B32" s="134">
        <f>SUM(B29:B31)</f>
        <v>5602951.2745457441</v>
      </c>
      <c r="C32" s="134">
        <f t="shared" ref="C32:H32" si="7">SUM(C29:C31)</f>
        <v>5703409.4459545966</v>
      </c>
      <c r="D32" s="134">
        <f t="shared" si="7"/>
        <v>6249584.7315593241</v>
      </c>
      <c r="E32" s="134">
        <f t="shared" si="7"/>
        <v>6354212.5734683052</v>
      </c>
      <c r="F32" s="134">
        <f t="shared" si="7"/>
        <v>6376804.3127150759</v>
      </c>
      <c r="G32" s="134">
        <f t="shared" si="7"/>
        <v>6443042.6136041656</v>
      </c>
      <c r="H32" s="135">
        <f t="shared" si="7"/>
        <v>6395785.0320551759</v>
      </c>
    </row>
    <row r="33" spans="1:8" x14ac:dyDescent="0.3">
      <c r="A33" s="148" t="s">
        <v>259</v>
      </c>
      <c r="B33" s="149">
        <f>B22+B24+B28+B32</f>
        <v>6952998.6381631587</v>
      </c>
      <c r="C33" s="147">
        <f t="shared" ref="C33:H33" si="8">C22+C24+C28+C32</f>
        <v>7069580.3171658907</v>
      </c>
      <c r="D33" s="147">
        <f t="shared" si="8"/>
        <v>7663706.3609596733</v>
      </c>
      <c r="E33" s="147">
        <f t="shared" si="8"/>
        <v>7773795.4720941968</v>
      </c>
      <c r="F33" s="147">
        <f t="shared" si="8"/>
        <v>7796511.0103901029</v>
      </c>
      <c r="G33" s="147">
        <f t="shared" si="8"/>
        <v>7866235.2175607523</v>
      </c>
      <c r="H33" s="147">
        <f t="shared" si="8"/>
        <v>7815577.5753422324</v>
      </c>
    </row>
    <row r="34" spans="1:8" x14ac:dyDescent="0.3">
      <c r="A34" s="140"/>
      <c r="B34" s="141"/>
      <c r="C34" s="141"/>
    </row>
    <row r="35" spans="1:8" x14ac:dyDescent="0.3">
      <c r="A35" s="140"/>
      <c r="B35" s="141"/>
      <c r="C35" s="141"/>
      <c r="D35" s="141"/>
      <c r="E35" s="141"/>
      <c r="F35" s="141"/>
      <c r="G35" s="141"/>
      <c r="H35" s="141"/>
    </row>
    <row r="36" spans="1:8" x14ac:dyDescent="0.3">
      <c r="A36" s="142" t="s">
        <v>260</v>
      </c>
      <c r="B36" s="172">
        <f>B22-B7</f>
        <v>714126.41123646218</v>
      </c>
      <c r="C36" s="172">
        <f t="shared" ref="C36:H36" si="9">C22-C7</f>
        <v>502090.29978272272</v>
      </c>
      <c r="D36" s="172">
        <f t="shared" si="9"/>
        <v>860180.43892415904</v>
      </c>
      <c r="E36" s="172">
        <f t="shared" si="9"/>
        <v>1170788.7557687487</v>
      </c>
      <c r="F36" s="172">
        <f t="shared" si="9"/>
        <v>1309301.9357702644</v>
      </c>
      <c r="G36" s="172">
        <f t="shared" si="9"/>
        <v>1335406.8896708721</v>
      </c>
      <c r="H36" s="172">
        <f t="shared" si="9"/>
        <v>1371292.5432870558</v>
      </c>
    </row>
    <row r="37" spans="1:8" x14ac:dyDescent="0.3">
      <c r="A37" s="143" t="s">
        <v>261</v>
      </c>
      <c r="B37" s="173">
        <f>B9-B32</f>
        <v>-443299.75352230575</v>
      </c>
      <c r="C37" s="173">
        <f t="shared" ref="C37:H37" si="10">C9-C32</f>
        <v>-376124.01023022924</v>
      </c>
      <c r="D37" s="173">
        <f t="shared" si="10"/>
        <v>-389404.29979274329</v>
      </c>
      <c r="E37" s="173">
        <f t="shared" si="10"/>
        <v>-434626.48961364478</v>
      </c>
      <c r="F37" s="173">
        <f t="shared" si="10"/>
        <v>-451177.92932552379</v>
      </c>
      <c r="G37" s="173">
        <f t="shared" si="10"/>
        <v>-478830.74546625186</v>
      </c>
      <c r="H37" s="173">
        <f t="shared" si="10"/>
        <v>-466343.1245294949</v>
      </c>
    </row>
    <row r="38" spans="1:8" x14ac:dyDescent="0.3">
      <c r="A38" s="144" t="s">
        <v>262</v>
      </c>
      <c r="B38" s="174">
        <f>B12</f>
        <v>1157426.1647587679</v>
      </c>
      <c r="C38" s="174">
        <f t="shared" ref="C38:H38" si="11">C12</f>
        <v>878214.31001295149</v>
      </c>
      <c r="D38" s="174">
        <f t="shared" si="11"/>
        <v>1249584.7387169022</v>
      </c>
      <c r="E38" s="174">
        <f t="shared" si="11"/>
        <v>1605415.2453823937</v>
      </c>
      <c r="F38" s="174">
        <f t="shared" si="11"/>
        <v>1760479.8650957886</v>
      </c>
      <c r="G38" s="174">
        <f t="shared" si="11"/>
        <v>1814237.635137124</v>
      </c>
      <c r="H38" s="174">
        <f t="shared" si="11"/>
        <v>1837635.6678165514</v>
      </c>
    </row>
    <row r="40" spans="1:8" x14ac:dyDescent="0.3">
      <c r="B40" s="11"/>
      <c r="C40" s="11"/>
      <c r="D40" s="11"/>
      <c r="E40" s="11"/>
      <c r="F40" s="11"/>
      <c r="G40" s="11"/>
      <c r="H40" s="11"/>
    </row>
  </sheetData>
  <sheetProtection selectLockedCells="1" selectUnlockedCells="1"/>
  <mergeCells count="1">
    <mergeCell ref="A1:H1"/>
  </mergeCells>
  <conditionalFormatting sqref="A34:C34">
    <cfRule type="cellIs" dxfId="0" priority="1" stopIfTrue="1" operator="not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0" orientation="landscape" r:id="rId1"/>
  <headerFooter>
    <oddHeader>&amp;L&amp;F&amp;R&amp;A</oddHeader>
    <oddFooter>&amp;L&amp;D&amp;C&amp;P/&amp;N&amp;R&amp;T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789619-a42c-4a65-9ae1-41df945f2e0b">
      <Terms xmlns="http://schemas.microsoft.com/office/infopath/2007/PartnerControls"/>
    </lcf76f155ced4ddcb4097134ff3c332f>
    <TaxCatchAll xmlns="85de1aff-d11c-48fe-b169-f2dd093fdc27" xsi:nil="true"/>
  </documentManagement>
</p:properties>
</file>

<file path=customXml/item2.xml><?xml version="1.0" encoding="utf-8"?>
<SyracuseOfficeCustomData>{"createMode":"plain_doc","forceRefresh":"0"}</SyracuseOfficeCustom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7DD70F7727C44B6CF4897B3467668" ma:contentTypeVersion="13" ma:contentTypeDescription="Create a new document." ma:contentTypeScope="" ma:versionID="ed4f310fdee7bd5e365254b42fa8b72e">
  <xsd:schema xmlns:xsd="http://www.w3.org/2001/XMLSchema" xmlns:xs="http://www.w3.org/2001/XMLSchema" xmlns:p="http://schemas.microsoft.com/office/2006/metadata/properties" xmlns:ns2="6e789619-a42c-4a65-9ae1-41df945f2e0b" xmlns:ns3="85de1aff-d11c-48fe-b169-f2dd093fdc27" targetNamespace="http://schemas.microsoft.com/office/2006/metadata/properties" ma:root="true" ma:fieldsID="64121bdcb1865014934be7f4356c094e" ns2:_="" ns3:_="">
    <xsd:import namespace="6e789619-a42c-4a65-9ae1-41df945f2e0b"/>
    <xsd:import namespace="85de1aff-d11c-48fe-b169-f2dd093fd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9619-a42c-4a65-9ae1-41df945f2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49a2378-73c7-4e4c-bff8-b85a2f404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e1aff-d11c-48fe-b169-f2dd093fdc2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e7567c-4b14-41f5-b1f3-d6fb615cb582}" ma:internalName="TaxCatchAll" ma:showField="CatchAllData" ma:web="85de1aff-d11c-48fe-b169-f2dd093fd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1570D-53DE-4B21-AD84-336FEAFCF45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5de1aff-d11c-48fe-b169-f2dd093fdc27"/>
    <ds:schemaRef ds:uri="http://purl.org/dc/dcmitype/"/>
    <ds:schemaRef ds:uri="http://www.w3.org/XML/1998/namespace"/>
    <ds:schemaRef ds:uri="6e789619-a42c-4a65-9ae1-41df945f2e0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8E4C7F-7832-477F-97A1-8C9EA41CF5DE}">
  <ds:schemaRefs/>
</ds:datastoreItem>
</file>

<file path=customXml/itemProps3.xml><?xml version="1.0" encoding="utf-8"?>
<ds:datastoreItem xmlns:ds="http://schemas.openxmlformats.org/officeDocument/2006/customXml" ds:itemID="{9E681D6E-F757-4444-B3F9-BC7F2D02E1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5E22F4-96B9-4068-BCBD-88ED2A527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9619-a42c-4a65-9ae1-41df945f2e0b"/>
    <ds:schemaRef ds:uri="85de1aff-d11c-48fe-b169-f2dd093fdc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32</vt:i4>
      </vt:variant>
      <vt:variant>
        <vt:lpstr>Plages nommées</vt:lpstr>
      </vt:variant>
      <vt:variant>
        <vt:i4>35</vt:i4>
      </vt:variant>
    </vt:vector>
  </HeadingPairs>
  <TitlesOfParts>
    <vt:vector size="67" baseType="lpstr">
      <vt:lpstr>Notice</vt:lpstr>
      <vt:lpstr>1.Evolution Couts</vt:lpstr>
      <vt:lpstr>2. CEP offre de base</vt:lpstr>
      <vt:lpstr>CEP_OFINT2</vt:lpstr>
      <vt:lpstr>Evolutions_OFINT2</vt:lpstr>
      <vt:lpstr>CEP_OFINT1</vt:lpstr>
      <vt:lpstr>Evolutions_OFINT1</vt:lpstr>
      <vt:lpstr>CEP_OF1B</vt:lpstr>
      <vt:lpstr>Evolutions_OF1B</vt:lpstr>
      <vt:lpstr>3.Recettes</vt:lpstr>
      <vt:lpstr>12. CEPTC1 service vélo Bethune</vt:lpstr>
      <vt:lpstr>14. CEPTC3 Gestion abris vélos</vt:lpstr>
      <vt:lpstr>4.Charges variables</vt:lpstr>
      <vt:lpstr>4a</vt:lpstr>
      <vt:lpstr>4b</vt:lpstr>
      <vt:lpstr>10. CEP option Allobus</vt:lpstr>
      <vt:lpstr>11. CEP option Proxibus</vt:lpstr>
      <vt:lpstr>4c</vt:lpstr>
      <vt:lpstr>4d</vt:lpstr>
      <vt:lpstr>5.Charges fixes</vt:lpstr>
      <vt:lpstr>5a</vt:lpstr>
      <vt:lpstr>5b</vt:lpstr>
      <vt:lpstr>5c</vt:lpstr>
      <vt:lpstr>6. SousTraitance</vt:lpstr>
      <vt:lpstr>5a.</vt:lpstr>
      <vt:lpstr>5b.</vt:lpstr>
      <vt:lpstr>7.CEP en format SIG</vt:lpstr>
      <vt:lpstr>8.2 Option 6.2.1 Emports</vt:lpstr>
      <vt:lpstr>8.2 Option 6.2.2 Captain Bike R</vt:lpstr>
      <vt:lpstr>8.2 Option 6.2.2Captain BikeD3 </vt:lpstr>
      <vt:lpstr>8.2 Option 6.2.3 Trottinette</vt:lpstr>
      <vt:lpstr>9. Bilan prévisionnel</vt:lpstr>
      <vt:lpstr>CEP_OF1B!Annee</vt:lpstr>
      <vt:lpstr>Evolutions_OF1B!Annee</vt:lpstr>
      <vt:lpstr>Evolutions_OFINT1!Annee</vt:lpstr>
      <vt:lpstr>Evolutions_OFINT2!Annee</vt:lpstr>
      <vt:lpstr>Annee</vt:lpstr>
      <vt:lpstr>'1.Evolution Couts'!Zone_d_impression</vt:lpstr>
      <vt:lpstr>'10. CEP option Allobus'!Zone_d_impression</vt:lpstr>
      <vt:lpstr>'11. CEP option Proxibus'!Zone_d_impression</vt:lpstr>
      <vt:lpstr>'12. CEPTC1 service vélo Bethune'!Zone_d_impression</vt:lpstr>
      <vt:lpstr>'14. CEPTC3 Gestion abris vélos'!Zone_d_impression</vt:lpstr>
      <vt:lpstr>'2. CEP offre de base'!Zone_d_impression</vt:lpstr>
      <vt:lpstr>'4.Charges variables'!Zone_d_impression</vt:lpstr>
      <vt:lpstr>'4a'!Zone_d_impression</vt:lpstr>
      <vt:lpstr>'4b'!Zone_d_impression</vt:lpstr>
      <vt:lpstr>'4c'!Zone_d_impression</vt:lpstr>
      <vt:lpstr>'4d'!Zone_d_impression</vt:lpstr>
      <vt:lpstr>'5.Charges fixes'!Zone_d_impression</vt:lpstr>
      <vt:lpstr>'5a'!Zone_d_impression</vt:lpstr>
      <vt:lpstr>'5a.'!Zone_d_impression</vt:lpstr>
      <vt:lpstr>'5b'!Zone_d_impression</vt:lpstr>
      <vt:lpstr>'5b.'!Zone_d_impression</vt:lpstr>
      <vt:lpstr>'5c'!Zone_d_impression</vt:lpstr>
      <vt:lpstr>'6. SousTraitance'!Zone_d_impression</vt:lpstr>
      <vt:lpstr>'7.CEP en format SIG'!Zone_d_impression</vt:lpstr>
      <vt:lpstr>'8.2 Option 6.2.1 Emports'!Zone_d_impression</vt:lpstr>
      <vt:lpstr>'8.2 Option 6.2.2 Captain Bike R'!Zone_d_impression</vt:lpstr>
      <vt:lpstr>'8.2 Option 6.2.2Captain BikeD3 '!Zone_d_impression</vt:lpstr>
      <vt:lpstr>'8.2 Option 6.2.3 Trottinette'!Zone_d_impression</vt:lpstr>
      <vt:lpstr>'9. Bilan prévisionnel'!Zone_d_impression</vt:lpstr>
      <vt:lpstr>CEP_OF1B!Zone_d_impression</vt:lpstr>
      <vt:lpstr>CEP_OFINT1!Zone_d_impression</vt:lpstr>
      <vt:lpstr>CEP_OFINT2!Zone_d_impression</vt:lpstr>
      <vt:lpstr>Evolutions_OF1B!Zone_d_impression</vt:lpstr>
      <vt:lpstr>Evolutions_OFINT1!Zone_d_impression</vt:lpstr>
      <vt:lpstr>Evolutions_OFINT2!Zone_d_impression</vt:lpstr>
    </vt:vector>
  </TitlesOfParts>
  <Company>tadao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FCL</dc:creator>
  <cp:lastModifiedBy>Paskal Barbelette</cp:lastModifiedBy>
  <cp:lastPrinted>2023-09-07T10:28:23Z</cp:lastPrinted>
  <dcterms:created xsi:type="dcterms:W3CDTF">2010-06-11T10:05:58Z</dcterms:created>
  <dcterms:modified xsi:type="dcterms:W3CDTF">2023-09-26T08:53:41Z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0x0101007AF7DD70F7727C44B6CF4897B3467668</vt:lpwstr>
  </property>
  <property fmtid="{D5CDD505-2E9C-101B-9397-08002B2CF9AE}" pid="3" name="MediaServiceImageTags">
    <vt:lpwstr/>
  </property>
</Properties>
</file>